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OBYEK PENGAWASAN K.2" sheetId="1" r:id="rId1"/>
  </sheets>
  <externalReferences>
    <externalReference r:id="rId2"/>
  </externalReferences>
  <definedNames>
    <definedName name="_xlnm.Print_Area" localSheetId="0">'OBYEK PENGAWASAN K.2'!$A$1:$S$134</definedName>
    <definedName name="_xlnm.Print_Titles" localSheetId="0">'OBYEK PENGAWASAN K.2'!$7:$10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0" i="1" l="1"/>
  <c r="R120" i="1"/>
  <c r="Q120" i="1"/>
  <c r="P120" i="1"/>
  <c r="O120" i="1"/>
  <c r="N120" i="1"/>
  <c r="M120" i="1"/>
  <c r="L120" i="1"/>
  <c r="K120" i="1"/>
  <c r="J120" i="1"/>
  <c r="I120" i="1"/>
  <c r="H120" i="1"/>
  <c r="F120" i="1"/>
  <c r="E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E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F118" i="1"/>
  <c r="E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F117" i="1"/>
  <c r="E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F116" i="1"/>
  <c r="E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F115" i="1"/>
  <c r="E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F114" i="1"/>
  <c r="E114" i="1"/>
  <c r="S113" i="1"/>
  <c r="R113" i="1"/>
  <c r="R121" i="1" s="1"/>
  <c r="Q113" i="1"/>
  <c r="P113" i="1"/>
  <c r="O113" i="1"/>
  <c r="N113" i="1"/>
  <c r="M113" i="1"/>
  <c r="L113" i="1"/>
  <c r="K113" i="1"/>
  <c r="J113" i="1"/>
  <c r="J121" i="1" s="1"/>
  <c r="I113" i="1"/>
  <c r="H113" i="1"/>
  <c r="F113" i="1"/>
  <c r="E113" i="1"/>
  <c r="S112" i="1"/>
  <c r="S121" i="1" s="1"/>
  <c r="R112" i="1"/>
  <c r="Q112" i="1"/>
  <c r="Q121" i="1" s="1"/>
  <c r="P112" i="1"/>
  <c r="O112" i="1"/>
  <c r="O121" i="1" s="1"/>
  <c r="N112" i="1"/>
  <c r="M112" i="1"/>
  <c r="M121" i="1" s="1"/>
  <c r="L112" i="1"/>
  <c r="L121" i="1" s="1"/>
  <c r="K112" i="1"/>
  <c r="K121" i="1" s="1"/>
  <c r="J112" i="1"/>
  <c r="I112" i="1"/>
  <c r="I121" i="1" s="1"/>
  <c r="H112" i="1"/>
  <c r="H121" i="1" s="1"/>
  <c r="F112" i="1"/>
  <c r="F121" i="1" s="1"/>
  <c r="E112" i="1"/>
  <c r="W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W110" i="1"/>
  <c r="D110" i="1"/>
  <c r="W109" i="1"/>
  <c r="D109" i="1"/>
  <c r="W108" i="1"/>
  <c r="D108" i="1"/>
  <c r="W107" i="1"/>
  <c r="D107" i="1"/>
  <c r="W106" i="1"/>
  <c r="D106" i="1"/>
  <c r="W105" i="1"/>
  <c r="D105" i="1"/>
  <c r="W104" i="1"/>
  <c r="D104" i="1"/>
  <c r="W103" i="1"/>
  <c r="D103" i="1"/>
  <c r="D102" i="1"/>
  <c r="D111" i="1" s="1"/>
  <c r="W101" i="1"/>
  <c r="U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W100" i="1"/>
  <c r="U100" i="1"/>
  <c r="D100" i="1"/>
  <c r="W99" i="1"/>
  <c r="U99" i="1"/>
  <c r="D99" i="1"/>
  <c r="W98" i="1"/>
  <c r="U98" i="1"/>
  <c r="D98" i="1"/>
  <c r="W97" i="1"/>
  <c r="U97" i="1"/>
  <c r="D97" i="1"/>
  <c r="W96" i="1"/>
  <c r="U96" i="1"/>
  <c r="D96" i="1"/>
  <c r="W95" i="1"/>
  <c r="U95" i="1"/>
  <c r="D95" i="1"/>
  <c r="W94" i="1"/>
  <c r="U94" i="1"/>
  <c r="D94" i="1"/>
  <c r="W93" i="1"/>
  <c r="U93" i="1"/>
  <c r="D93" i="1"/>
  <c r="D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W90" i="1"/>
  <c r="D90" i="1"/>
  <c r="W89" i="1"/>
  <c r="D89" i="1"/>
  <c r="W88" i="1"/>
  <c r="D88" i="1"/>
  <c r="W87" i="1"/>
  <c r="D87" i="1"/>
  <c r="W86" i="1"/>
  <c r="D86" i="1"/>
  <c r="W85" i="1"/>
  <c r="D85" i="1"/>
  <c r="W84" i="1"/>
  <c r="D84" i="1"/>
  <c r="W83" i="1"/>
  <c r="D83" i="1"/>
  <c r="W82" i="1"/>
  <c r="D82" i="1"/>
  <c r="D91" i="1" s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W80" i="1"/>
  <c r="U80" i="1"/>
  <c r="D80" i="1"/>
  <c r="W79" i="1"/>
  <c r="U79" i="1"/>
  <c r="D79" i="1"/>
  <c r="W78" i="1"/>
  <c r="U78" i="1"/>
  <c r="D78" i="1"/>
  <c r="W77" i="1"/>
  <c r="U77" i="1"/>
  <c r="D77" i="1"/>
  <c r="W76" i="1"/>
  <c r="U76" i="1"/>
  <c r="D76" i="1"/>
  <c r="W75" i="1"/>
  <c r="U75" i="1"/>
  <c r="D75" i="1"/>
  <c r="W74" i="1"/>
  <c r="U74" i="1"/>
  <c r="D74" i="1"/>
  <c r="W73" i="1"/>
  <c r="W81" i="1" s="1"/>
  <c r="U73" i="1"/>
  <c r="D73" i="1"/>
  <c r="W72" i="1"/>
  <c r="U72" i="1"/>
  <c r="U81" i="1" s="1"/>
  <c r="D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W70" i="1"/>
  <c r="V70" i="1"/>
  <c r="U70" i="1"/>
  <c r="D70" i="1"/>
  <c r="W69" i="1"/>
  <c r="V69" i="1"/>
  <c r="U69" i="1"/>
  <c r="D69" i="1"/>
  <c r="W68" i="1"/>
  <c r="V68" i="1"/>
  <c r="U68" i="1"/>
  <c r="D68" i="1"/>
  <c r="W67" i="1"/>
  <c r="V67" i="1"/>
  <c r="U67" i="1"/>
  <c r="D67" i="1"/>
  <c r="W66" i="1"/>
  <c r="V66" i="1"/>
  <c r="U66" i="1"/>
  <c r="D66" i="1"/>
  <c r="W65" i="1"/>
  <c r="V65" i="1"/>
  <c r="U65" i="1"/>
  <c r="D65" i="1"/>
  <c r="W64" i="1"/>
  <c r="V64" i="1"/>
  <c r="U64" i="1"/>
  <c r="D64" i="1"/>
  <c r="W63" i="1"/>
  <c r="V63" i="1"/>
  <c r="U63" i="1"/>
  <c r="D63" i="1"/>
  <c r="W62" i="1"/>
  <c r="W71" i="1" s="1"/>
  <c r="V62" i="1"/>
  <c r="V71" i="1" s="1"/>
  <c r="U62" i="1"/>
  <c r="U71" i="1" s="1"/>
  <c r="D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W60" i="1"/>
  <c r="V60" i="1"/>
  <c r="U60" i="1"/>
  <c r="D60" i="1"/>
  <c r="W59" i="1"/>
  <c r="V59" i="1"/>
  <c r="U59" i="1"/>
  <c r="D59" i="1"/>
  <c r="W58" i="1"/>
  <c r="V58" i="1"/>
  <c r="U58" i="1"/>
  <c r="D58" i="1"/>
  <c r="W57" i="1"/>
  <c r="V57" i="1"/>
  <c r="U57" i="1"/>
  <c r="D57" i="1"/>
  <c r="W56" i="1"/>
  <c r="V56" i="1"/>
  <c r="U56" i="1"/>
  <c r="D56" i="1"/>
  <c r="W55" i="1"/>
  <c r="V55" i="1"/>
  <c r="U55" i="1"/>
  <c r="D55" i="1"/>
  <c r="W54" i="1"/>
  <c r="V54" i="1"/>
  <c r="U54" i="1"/>
  <c r="D54" i="1"/>
  <c r="W53" i="1"/>
  <c r="V53" i="1"/>
  <c r="U53" i="1"/>
  <c r="D53" i="1"/>
  <c r="W52" i="1"/>
  <c r="W61" i="1" s="1"/>
  <c r="V52" i="1"/>
  <c r="V61" i="1" s="1"/>
  <c r="U52" i="1"/>
  <c r="U61" i="1" s="1"/>
  <c r="D52" i="1"/>
  <c r="D61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W50" i="1"/>
  <c r="V50" i="1"/>
  <c r="U50" i="1"/>
  <c r="D50" i="1"/>
  <c r="W49" i="1"/>
  <c r="V49" i="1"/>
  <c r="U49" i="1"/>
  <c r="D49" i="1"/>
  <c r="W48" i="1"/>
  <c r="V48" i="1"/>
  <c r="U48" i="1"/>
  <c r="D48" i="1"/>
  <c r="W47" i="1"/>
  <c r="V47" i="1"/>
  <c r="U47" i="1"/>
  <c r="D47" i="1"/>
  <c r="W46" i="1"/>
  <c r="V46" i="1"/>
  <c r="U46" i="1"/>
  <c r="D46" i="1"/>
  <c r="W45" i="1"/>
  <c r="V45" i="1"/>
  <c r="U45" i="1"/>
  <c r="D45" i="1"/>
  <c r="W44" i="1"/>
  <c r="V44" i="1"/>
  <c r="U44" i="1"/>
  <c r="D44" i="1"/>
  <c r="W43" i="1"/>
  <c r="V43" i="1"/>
  <c r="U43" i="1"/>
  <c r="D43" i="1"/>
  <c r="W42" i="1"/>
  <c r="W51" i="1" s="1"/>
  <c r="V42" i="1"/>
  <c r="V51" i="1" s="1"/>
  <c r="U42" i="1"/>
  <c r="U51" i="1" s="1"/>
  <c r="D42" i="1"/>
  <c r="D51" i="1" s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Y40" i="1"/>
  <c r="X40" i="1"/>
  <c r="W40" i="1"/>
  <c r="V40" i="1"/>
  <c r="U40" i="1"/>
  <c r="D40" i="1"/>
  <c r="Y39" i="1"/>
  <c r="X39" i="1"/>
  <c r="W39" i="1"/>
  <c r="V39" i="1"/>
  <c r="U39" i="1"/>
  <c r="D39" i="1"/>
  <c r="Y38" i="1"/>
  <c r="X38" i="1"/>
  <c r="W38" i="1"/>
  <c r="V38" i="1"/>
  <c r="U38" i="1"/>
  <c r="D38" i="1"/>
  <c r="Y37" i="1"/>
  <c r="X37" i="1"/>
  <c r="W37" i="1"/>
  <c r="V37" i="1"/>
  <c r="U37" i="1"/>
  <c r="D37" i="1"/>
  <c r="Y36" i="1"/>
  <c r="X36" i="1"/>
  <c r="W36" i="1"/>
  <c r="V36" i="1"/>
  <c r="U36" i="1"/>
  <c r="D36" i="1"/>
  <c r="Y35" i="1"/>
  <c r="X35" i="1"/>
  <c r="W35" i="1"/>
  <c r="V35" i="1"/>
  <c r="U35" i="1"/>
  <c r="D35" i="1"/>
  <c r="Y34" i="1"/>
  <c r="X34" i="1"/>
  <c r="W34" i="1"/>
  <c r="V34" i="1"/>
  <c r="U34" i="1"/>
  <c r="D34" i="1"/>
  <c r="Y33" i="1"/>
  <c r="X33" i="1"/>
  <c r="W33" i="1"/>
  <c r="V33" i="1"/>
  <c r="U33" i="1"/>
  <c r="D33" i="1"/>
  <c r="Y32" i="1"/>
  <c r="X32" i="1"/>
  <c r="W32" i="1"/>
  <c r="V32" i="1"/>
  <c r="V41" i="1" s="1"/>
  <c r="U32" i="1"/>
  <c r="D32" i="1"/>
  <c r="D41" i="1" s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Y30" i="1"/>
  <c r="X30" i="1"/>
  <c r="W30" i="1"/>
  <c r="G120" i="1" s="1"/>
  <c r="V30" i="1"/>
  <c r="U30" i="1"/>
  <c r="Y29" i="1"/>
  <c r="X29" i="1"/>
  <c r="W29" i="1"/>
  <c r="G119" i="1" s="1"/>
  <c r="V29" i="1"/>
  <c r="U29" i="1"/>
  <c r="Y28" i="1"/>
  <c r="X28" i="1"/>
  <c r="W28" i="1"/>
  <c r="G118" i="1" s="1"/>
  <c r="V28" i="1"/>
  <c r="U28" i="1"/>
  <c r="D28" i="1"/>
  <c r="Y27" i="1"/>
  <c r="X27" i="1"/>
  <c r="W27" i="1"/>
  <c r="D27" i="1" s="1"/>
  <c r="V27" i="1"/>
  <c r="U27" i="1"/>
  <c r="Y26" i="1"/>
  <c r="X26" i="1"/>
  <c r="W26" i="1"/>
  <c r="G116" i="1" s="1"/>
  <c r="V26" i="1"/>
  <c r="U26" i="1"/>
  <c r="Y25" i="1"/>
  <c r="X25" i="1"/>
  <c r="W25" i="1"/>
  <c r="G115" i="1" s="1"/>
  <c r="V25" i="1"/>
  <c r="U25" i="1"/>
  <c r="Y24" i="1"/>
  <c r="X24" i="1"/>
  <c r="W24" i="1"/>
  <c r="G114" i="1" s="1"/>
  <c r="V24" i="1"/>
  <c r="U24" i="1"/>
  <c r="D24" i="1"/>
  <c r="Y23" i="1"/>
  <c r="X23" i="1"/>
  <c r="W23" i="1"/>
  <c r="D23" i="1" s="1"/>
  <c r="V23" i="1"/>
  <c r="U23" i="1"/>
  <c r="Y22" i="1"/>
  <c r="Y31" i="1" s="1"/>
  <c r="X22" i="1"/>
  <c r="W22" i="1"/>
  <c r="G112" i="1" s="1"/>
  <c r="V22" i="1"/>
  <c r="U22" i="1"/>
  <c r="U31" i="1" s="1"/>
  <c r="V21" i="1"/>
  <c r="S21" i="1"/>
  <c r="R21" i="1"/>
  <c r="R122" i="1" s="1"/>
  <c r="Q21" i="1"/>
  <c r="Q122" i="1" s="1"/>
  <c r="P21" i="1"/>
  <c r="O21" i="1"/>
  <c r="N21" i="1"/>
  <c r="N122" i="1" s="1"/>
  <c r="M21" i="1"/>
  <c r="M122" i="1" s="1"/>
  <c r="L21" i="1"/>
  <c r="K21" i="1"/>
  <c r="J21" i="1"/>
  <c r="J122" i="1" s="1"/>
  <c r="I21" i="1"/>
  <c r="I122" i="1" s="1"/>
  <c r="H21" i="1"/>
  <c r="G21" i="1"/>
  <c r="F21" i="1"/>
  <c r="F122" i="1" s="1"/>
  <c r="E21" i="1"/>
  <c r="E122" i="1" s="1"/>
  <c r="Z20" i="1"/>
  <c r="Y20" i="1"/>
  <c r="X20" i="1"/>
  <c r="W20" i="1"/>
  <c r="U20" i="1"/>
  <c r="D20" i="1"/>
  <c r="Z19" i="1"/>
  <c r="Y19" i="1"/>
  <c r="X19" i="1"/>
  <c r="W19" i="1"/>
  <c r="U19" i="1"/>
  <c r="D19" i="1"/>
  <c r="Z18" i="1"/>
  <c r="Y18" i="1"/>
  <c r="X18" i="1"/>
  <c r="W18" i="1"/>
  <c r="U18" i="1"/>
  <c r="D18" i="1"/>
  <c r="Z17" i="1"/>
  <c r="Y17" i="1"/>
  <c r="X17" i="1"/>
  <c r="W17" i="1"/>
  <c r="U17" i="1"/>
  <c r="D17" i="1"/>
  <c r="Z16" i="1"/>
  <c r="Y16" i="1"/>
  <c r="X16" i="1"/>
  <c r="W16" i="1"/>
  <c r="U16" i="1"/>
  <c r="D16" i="1"/>
  <c r="AA15" i="1"/>
  <c r="Z15" i="1"/>
  <c r="Y15" i="1"/>
  <c r="X15" i="1"/>
  <c r="W15" i="1"/>
  <c r="U15" i="1"/>
  <c r="D15" i="1"/>
  <c r="AA14" i="1"/>
  <c r="Z14" i="1"/>
  <c r="Z21" i="1" s="1"/>
  <c r="Y14" i="1"/>
  <c r="X14" i="1"/>
  <c r="W14" i="1"/>
  <c r="U14" i="1"/>
  <c r="D14" i="1"/>
  <c r="Z13" i="1"/>
  <c r="Y13" i="1"/>
  <c r="X13" i="1"/>
  <c r="W13" i="1"/>
  <c r="U13" i="1"/>
  <c r="D13" i="1"/>
  <c r="D113" i="1" s="1"/>
  <c r="AA12" i="1"/>
  <c r="Z12" i="1"/>
  <c r="Y12" i="1"/>
  <c r="Y21" i="1" s="1"/>
  <c r="X12" i="1"/>
  <c r="W12" i="1"/>
  <c r="W21" i="1" s="1"/>
  <c r="U12" i="1"/>
  <c r="D12" i="1"/>
  <c r="B3" i="1"/>
  <c r="X21" i="1" l="1"/>
  <c r="D118" i="1"/>
  <c r="G122" i="1"/>
  <c r="K122" i="1"/>
  <c r="O122" i="1"/>
  <c r="S122" i="1"/>
  <c r="D26" i="1"/>
  <c r="D116" i="1" s="1"/>
  <c r="X41" i="1"/>
  <c r="W31" i="1"/>
  <c r="L122" i="1"/>
  <c r="U41" i="1"/>
  <c r="Y41" i="1"/>
  <c r="W41" i="1"/>
  <c r="D71" i="1"/>
  <c r="W91" i="1"/>
  <c r="W112" i="1"/>
  <c r="E121" i="1"/>
  <c r="N121" i="1"/>
  <c r="P121" i="1"/>
  <c r="H122" i="1"/>
  <c r="P122" i="1"/>
  <c r="V31" i="1"/>
  <c r="U21" i="1"/>
  <c r="D114" i="1"/>
  <c r="D22" i="1"/>
  <c r="D31" i="1" s="1"/>
  <c r="X31" i="1"/>
  <c r="D30" i="1"/>
  <c r="D120" i="1" s="1"/>
  <c r="D81" i="1"/>
  <c r="D101" i="1"/>
  <c r="W102" i="1"/>
  <c r="D117" i="1"/>
  <c r="D115" i="1"/>
  <c r="D21" i="1"/>
  <c r="D25" i="1"/>
  <c r="D29" i="1"/>
  <c r="D119" i="1" s="1"/>
  <c r="G113" i="1"/>
  <c r="G121" i="1" s="1"/>
  <c r="G117" i="1"/>
  <c r="D121" i="1" l="1"/>
  <c r="D112" i="1"/>
  <c r="D122" i="1"/>
</calcChain>
</file>

<file path=xl/sharedStrings.xml><?xml version="1.0" encoding="utf-8"?>
<sst xmlns="http://schemas.openxmlformats.org/spreadsheetml/2006/main" count="62" uniqueCount="51">
  <si>
    <t>DATA OBYEK PENGAWASAN</t>
  </si>
  <si>
    <t>Bulan</t>
  </si>
  <si>
    <t>Tahun</t>
  </si>
  <si>
    <t>: 2023</t>
  </si>
  <si>
    <t>Provinsi</t>
  </si>
  <si>
    <t>: Nusa Tenggara Barat</t>
  </si>
  <si>
    <t>Kode</t>
  </si>
  <si>
    <t>: K.2</t>
  </si>
  <si>
    <t>No</t>
  </si>
  <si>
    <t>Kabupaten/Kota</t>
  </si>
  <si>
    <t>Sektor/ Klui</t>
  </si>
  <si>
    <t>Jumlah Perusahaan</t>
  </si>
  <si>
    <t>Jumlah Tenaga Kerja</t>
  </si>
  <si>
    <t>Kategori Perusahaan</t>
  </si>
  <si>
    <t>Penghargaan K3 yg dimiliki Perusahaan</t>
  </si>
  <si>
    <t>WNI</t>
  </si>
  <si>
    <t>Mikro</t>
  </si>
  <si>
    <t>Kecil</t>
  </si>
  <si>
    <t>Sedang</t>
  </si>
  <si>
    <t>Besar</t>
  </si>
  <si>
    <t>PMDN</t>
  </si>
  <si>
    <t>PMA</t>
  </si>
  <si>
    <t>SN</t>
  </si>
  <si>
    <t>Joint Venture</t>
  </si>
  <si>
    <t>PP</t>
  </si>
  <si>
    <t>PKB</t>
  </si>
  <si>
    <t>SP</t>
  </si>
  <si>
    <t>LKS Bipartit</t>
  </si>
  <si>
    <t>L</t>
  </si>
  <si>
    <t>P</t>
  </si>
  <si>
    <t>PMDM</t>
  </si>
  <si>
    <t>Balai Pengawasan Ketenagakerjaan Pulau Lombok</t>
  </si>
  <si>
    <t>Kota Mataram</t>
  </si>
  <si>
    <t>Jumlah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</si>
  <si>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</si>
  <si>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</si>
  <si>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</si>
  <si>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</si>
  <si>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</si>
  <si>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</si>
  <si>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Dompu</t>
  </si>
  <si>
    <t>Kota Bima</t>
  </si>
  <si>
    <t>Kab. Bima</t>
  </si>
  <si>
    <t>Jumlah Komulatif</t>
  </si>
  <si>
    <t>se-Provinsi NTB</t>
  </si>
  <si>
    <t>Jumlah Total</t>
  </si>
  <si>
    <t>Kepala Dinas</t>
  </si>
  <si>
    <t>Tenaga Kerja dan Transmigrasi Provinsi NTB,</t>
  </si>
  <si>
    <t>I GEDE PUTU ARYADI,S.Sos.MH</t>
  </si>
  <si>
    <t>Pembina Utama Muda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</si>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</sst>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1"/>
      <scheme val="minor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6" fillId="0" borderId="6" xfId="1" applyNumberFormat="1" applyFont="1" applyBorder="1" applyAlignment="1">
      <alignment horizontal="center"/>
    </xf>
    <xf numFmtId="41" fontId="6" fillId="0" borderId="6" xfId="2" applyFont="1" applyBorder="1" applyAlignment="1">
      <alignment horizontal="center"/>
    </xf>
    <xf numFmtId="41" fontId="6" fillId="2" borderId="6" xfId="2" applyFont="1" applyFill="1" applyBorder="1" applyAlignment="1">
      <alignment horizontal="center"/>
    </xf>
    <xf numFmtId="41" fontId="6" fillId="2" borderId="0" xfId="2" applyFont="1" applyFill="1" applyBorder="1" applyAlignment="1">
      <alignment horizontal="center"/>
    </xf>
    <xf numFmtId="41" fontId="6" fillId="0" borderId="0" xfId="2" applyFont="1" applyBorder="1" applyAlignment="1">
      <alignment horizontal="center"/>
    </xf>
    <xf numFmtId="41" fontId="6" fillId="0" borderId="7" xfId="1" applyNumberFormat="1" applyFont="1" applyBorder="1" applyAlignment="1">
      <alignment horizontal="center"/>
    </xf>
    <xf numFmtId="41" fontId="6" fillId="0" borderId="7" xfId="2" applyFont="1" applyBorder="1" applyAlignment="1">
      <alignment horizontal="center"/>
    </xf>
    <xf numFmtId="41" fontId="6" fillId="2" borderId="7" xfId="2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1" fontId="8" fillId="0" borderId="1" xfId="2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0" fillId="0" borderId="6" xfId="2" applyFont="1" applyBorder="1" applyAlignment="1">
      <alignment horizontal="center"/>
    </xf>
    <xf numFmtId="41" fontId="0" fillId="0" borderId="7" xfId="2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1" fontId="3" fillId="0" borderId="6" xfId="2" applyFont="1" applyBorder="1" applyAlignment="1">
      <alignment horizontal="center" vertical="center"/>
    </xf>
    <xf numFmtId="41" fontId="3" fillId="0" borderId="7" xfId="2" applyFont="1" applyBorder="1" applyAlignment="1">
      <alignment horizontal="center" vertical="center"/>
    </xf>
    <xf numFmtId="41" fontId="3" fillId="0" borderId="9" xfId="2" applyFont="1" applyBorder="1" applyAlignment="1">
      <alignment horizontal="center" vertical="center"/>
    </xf>
    <xf numFmtId="41" fontId="3" fillId="0" borderId="10" xfId="2" applyFont="1" applyBorder="1" applyAlignment="1">
      <alignment horizontal="center" vertical="center"/>
    </xf>
    <xf numFmtId="41" fontId="3" fillId="0" borderId="8" xfId="2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1" fontId="3" fillId="0" borderId="5" xfId="2" applyFont="1" applyBorder="1" applyAlignment="1">
      <alignment horizontal="center" vertical="center"/>
    </xf>
    <xf numFmtId="41" fontId="4" fillId="0" borderId="11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ri/Data%20Bidang%20Pengawsan%202022/DATA%20PERMEN_09%20%202005%20BLN%20JUNI%202023%20DISNAKER%20NT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AWAI KETENAGAKERJAAN K.1"/>
      <sheetName val="OBYEK PENGAWASAN K.2"/>
      <sheetName val="OBYEK PENGAWASAN K.3"/>
      <sheetName val="JAMSOSTEK K.4"/>
      <sheetName val="PEMERIKSAAN KETENAGAKERJAAN K.5"/>
      <sheetName val="PEMERIKSAAN K.6"/>
      <sheetName val="PENERBITAN IJIN K.7"/>
      <sheetName val="KK &amp; PAK K.8a"/>
      <sheetName val="KK &amp; PAK K.8b"/>
      <sheetName val="KK &amp; PAK K.8c"/>
      <sheetName val="PELANGGARAN HUKUM K.9a"/>
      <sheetName val="PELANGGARAN HUKUM K.9b"/>
      <sheetName val="PENYIDIKAN K.10"/>
      <sheetName val="RIKSA UJI"/>
      <sheetName val="Sheet1"/>
      <sheetName val="Sheet3"/>
    </sheetNames>
    <sheetDataSet>
      <sheetData sheetId="0">
        <row r="3">
          <cell r="B3" t="str">
            <v>:  JUNI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tabSelected="1" view="pageBreakPreview" zoomScaleSheetLayoutView="100" workbookViewId="0">
      <selection activeCell="F132" sqref="F132"/>
    </sheetView>
  </sheetViews>
  <sheetFormatPr defaultColWidth="9.140625" defaultRowHeight="15" x14ac:dyDescent="0.25"/>
  <cols>
    <col min="1" max="1" width="9.28515625" style="1" bestFit="1" customWidth="1"/>
    <col min="2" max="2" width="20.7109375" style="1" bestFit="1" customWidth="1"/>
    <col min="3" max="3" width="9.28515625" style="1" bestFit="1" customWidth="1"/>
    <col min="4" max="4" width="10.7109375" style="1" customWidth="1"/>
    <col min="5" max="5" width="9.140625" style="1" bestFit="1" customWidth="1"/>
    <col min="6" max="6" width="8.85546875" style="1" bestFit="1" customWidth="1"/>
    <col min="7" max="7" width="8.42578125" style="1" customWidth="1"/>
    <col min="8" max="8" width="7.7109375" style="1" bestFit="1" customWidth="1"/>
    <col min="9" max="9" width="7.140625" style="1" customWidth="1"/>
    <col min="10" max="10" width="8.7109375" style="1" customWidth="1"/>
    <col min="11" max="11" width="8.42578125" style="1" customWidth="1"/>
    <col min="12" max="12" width="7.140625" style="1" customWidth="1"/>
    <col min="13" max="13" width="7.7109375" style="1" customWidth="1"/>
    <col min="14" max="14" width="7.5703125" style="1" customWidth="1"/>
    <col min="15" max="15" width="7.7109375" style="1" bestFit="1" customWidth="1"/>
    <col min="16" max="16" width="7.140625" style="1" customWidth="1"/>
    <col min="17" max="17" width="7" style="1" customWidth="1"/>
    <col min="18" max="18" width="7.140625" style="1" customWidth="1"/>
    <col min="19" max="19" width="13.28515625" style="1" customWidth="1"/>
    <col min="20" max="16384" width="9.140625" style="1"/>
  </cols>
  <sheetData>
    <row r="1" spans="1:35" ht="17.4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35" ht="8.25" customHeight="1" x14ac:dyDescent="0.35"/>
    <row r="3" spans="1:35" ht="14.1" x14ac:dyDescent="0.35">
      <c r="A3" s="2" t="s">
        <v>1</v>
      </c>
      <c r="B3" s="2" t="str">
        <f>'[1]PEGAWAI KETENAGAKERJAAN K.1'!B3</f>
        <v>:  JUNI</v>
      </c>
    </row>
    <row r="4" spans="1:35" ht="14.1" x14ac:dyDescent="0.35">
      <c r="A4" s="2" t="s">
        <v>2</v>
      </c>
      <c r="B4" s="2" t="s">
        <v>3</v>
      </c>
    </row>
    <row r="5" spans="1:35" ht="14.1" x14ac:dyDescent="0.35">
      <c r="A5" s="2" t="s">
        <v>4</v>
      </c>
      <c r="B5" s="2" t="s">
        <v>5</v>
      </c>
    </row>
    <row r="6" spans="1:35" ht="14.1" x14ac:dyDescent="0.35">
      <c r="A6" s="2" t="s">
        <v>6</v>
      </c>
      <c r="B6" s="2" t="s">
        <v>7</v>
      </c>
    </row>
    <row r="7" spans="1:35" x14ac:dyDescent="0.25">
      <c r="A7" s="49" t="s">
        <v>8</v>
      </c>
      <c r="B7" s="49" t="s">
        <v>9</v>
      </c>
      <c r="C7" s="48" t="s">
        <v>10</v>
      </c>
      <c r="D7" s="48" t="s">
        <v>11</v>
      </c>
      <c r="E7" s="49" t="s">
        <v>12</v>
      </c>
      <c r="F7" s="49"/>
      <c r="G7" s="3" t="s">
        <v>13</v>
      </c>
      <c r="H7" s="4"/>
      <c r="I7" s="4"/>
      <c r="J7" s="5"/>
      <c r="K7" s="52"/>
      <c r="L7" s="52"/>
      <c r="M7" s="52"/>
      <c r="N7" s="52"/>
      <c r="O7" s="6"/>
      <c r="P7" s="6"/>
      <c r="Q7" s="6"/>
      <c r="R7" s="6"/>
      <c r="S7" s="48" t="s">
        <v>14</v>
      </c>
    </row>
    <row r="8" spans="1:35" x14ac:dyDescent="0.25">
      <c r="A8" s="49"/>
      <c r="B8" s="49"/>
      <c r="C8" s="48"/>
      <c r="D8" s="48"/>
      <c r="E8" s="49" t="s">
        <v>15</v>
      </c>
      <c r="F8" s="49"/>
      <c r="G8" s="49" t="s">
        <v>16</v>
      </c>
      <c r="H8" s="49" t="s">
        <v>17</v>
      </c>
      <c r="I8" s="49" t="s">
        <v>18</v>
      </c>
      <c r="J8" s="49" t="s">
        <v>19</v>
      </c>
      <c r="K8" s="49" t="s">
        <v>20</v>
      </c>
      <c r="L8" s="49" t="s">
        <v>21</v>
      </c>
      <c r="M8" s="49" t="s">
        <v>22</v>
      </c>
      <c r="N8" s="48" t="s">
        <v>23</v>
      </c>
      <c r="O8" s="49" t="s">
        <v>24</v>
      </c>
      <c r="P8" s="49" t="s">
        <v>25</v>
      </c>
      <c r="Q8" s="49" t="s">
        <v>26</v>
      </c>
      <c r="R8" s="48" t="s">
        <v>27</v>
      </c>
      <c r="S8" s="48"/>
    </row>
    <row r="9" spans="1:35" ht="25.5" customHeight="1" x14ac:dyDescent="0.25">
      <c r="A9" s="49"/>
      <c r="B9" s="49"/>
      <c r="C9" s="48"/>
      <c r="D9" s="48"/>
      <c r="E9" s="6" t="s">
        <v>28</v>
      </c>
      <c r="F9" s="6" t="s">
        <v>29</v>
      </c>
      <c r="G9" s="49"/>
      <c r="H9" s="49"/>
      <c r="I9" s="49"/>
      <c r="J9" s="49"/>
      <c r="K9" s="49"/>
      <c r="L9" s="49"/>
      <c r="M9" s="49"/>
      <c r="N9" s="48"/>
      <c r="O9" s="49"/>
      <c r="P9" s="49"/>
      <c r="Q9" s="49"/>
      <c r="R9" s="48"/>
      <c r="S9" s="48"/>
    </row>
    <row r="10" spans="1:35" ht="14.1" x14ac:dyDescent="0.3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12</v>
      </c>
      <c r="L10" s="6">
        <v>13</v>
      </c>
      <c r="M10" s="6">
        <v>14</v>
      </c>
      <c r="N10" s="6">
        <v>15</v>
      </c>
      <c r="O10" s="6">
        <v>16</v>
      </c>
      <c r="P10" s="6">
        <v>17</v>
      </c>
      <c r="Q10" s="6">
        <v>18</v>
      </c>
      <c r="R10" s="6">
        <v>19</v>
      </c>
      <c r="S10" s="6">
        <v>20</v>
      </c>
      <c r="X10" s="1" t="s">
        <v>30</v>
      </c>
      <c r="Y10" s="1" t="s">
        <v>22</v>
      </c>
    </row>
    <row r="11" spans="1:35" ht="17.25" customHeight="1" x14ac:dyDescent="0.35">
      <c r="A11" s="50" t="s">
        <v>31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35" ht="24.95" customHeight="1" x14ac:dyDescent="0.35">
      <c r="A12" s="7">
        <v>1</v>
      </c>
      <c r="B12" s="7" t="s">
        <v>32</v>
      </c>
      <c r="C12" s="7">
        <v>1</v>
      </c>
      <c r="D12" s="8">
        <f t="shared" ref="D12:D20" si="0">G12+H12+I12+J12</f>
        <v>159</v>
      </c>
      <c r="E12" s="9">
        <v>2867</v>
      </c>
      <c r="F12" s="9">
        <v>818</v>
      </c>
      <c r="G12" s="9">
        <v>144</v>
      </c>
      <c r="H12" s="9">
        <v>13</v>
      </c>
      <c r="I12" s="9">
        <v>0</v>
      </c>
      <c r="J12" s="9">
        <v>2</v>
      </c>
      <c r="K12" s="10">
        <v>116</v>
      </c>
      <c r="L12" s="10">
        <v>2</v>
      </c>
      <c r="M12" s="10">
        <v>43</v>
      </c>
      <c r="N12" s="10">
        <v>0</v>
      </c>
      <c r="O12" s="9">
        <v>19</v>
      </c>
      <c r="P12" s="9">
        <v>5</v>
      </c>
      <c r="Q12" s="9">
        <v>3</v>
      </c>
      <c r="R12" s="9">
        <v>1</v>
      </c>
      <c r="S12" s="9">
        <v>0</v>
      </c>
      <c r="U12" s="9">
        <f>2863+4</f>
        <v>2867</v>
      </c>
      <c r="V12" s="9">
        <v>817</v>
      </c>
      <c r="W12" s="9">
        <f>120+24</f>
        <v>144</v>
      </c>
      <c r="X12" s="10">
        <f>110+6</f>
        <v>116</v>
      </c>
      <c r="Y12" s="10">
        <f>25+17</f>
        <v>42</v>
      </c>
      <c r="Z12" s="9">
        <f>8+11</f>
        <v>19</v>
      </c>
      <c r="AA12" s="9">
        <f>3+2</f>
        <v>5</v>
      </c>
      <c r="AB12" s="9">
        <v>1</v>
      </c>
      <c r="AC12" s="11"/>
      <c r="AD12" s="11"/>
      <c r="AE12" s="12"/>
      <c r="AF12" s="12"/>
      <c r="AG12" s="12"/>
      <c r="AH12" s="12"/>
      <c r="AI12" s="12"/>
    </row>
    <row r="13" spans="1:35" ht="24.95" customHeight="1" x14ac:dyDescent="0.35">
      <c r="A13" s="7"/>
      <c r="B13" s="7"/>
      <c r="C13" s="7">
        <v>2</v>
      </c>
      <c r="D13" s="13">
        <f t="shared" si="0"/>
        <v>166</v>
      </c>
      <c r="E13" s="14">
        <v>1572</v>
      </c>
      <c r="F13" s="14">
        <v>1012</v>
      </c>
      <c r="G13" s="14">
        <v>135</v>
      </c>
      <c r="H13" s="14">
        <v>21</v>
      </c>
      <c r="I13" s="14">
        <v>10</v>
      </c>
      <c r="J13" s="14">
        <v>0</v>
      </c>
      <c r="K13" s="15">
        <v>96</v>
      </c>
      <c r="L13" s="15">
        <v>4</v>
      </c>
      <c r="M13" s="15">
        <v>48</v>
      </c>
      <c r="N13" s="15">
        <v>1</v>
      </c>
      <c r="O13" s="14">
        <v>16</v>
      </c>
      <c r="P13" s="14">
        <v>2</v>
      </c>
      <c r="Q13" s="14">
        <v>2</v>
      </c>
      <c r="R13" s="14">
        <v>0</v>
      </c>
      <c r="S13" s="14">
        <v>0</v>
      </c>
      <c r="U13" s="14">
        <f>1568+4</f>
        <v>1572</v>
      </c>
      <c r="V13" s="14">
        <v>1011</v>
      </c>
      <c r="W13" s="14">
        <f>111+24</f>
        <v>135</v>
      </c>
      <c r="X13" s="15">
        <f>90+6</f>
        <v>96</v>
      </c>
      <c r="Y13" s="15">
        <f>29+17</f>
        <v>46</v>
      </c>
      <c r="Z13" s="14">
        <f>5+11</f>
        <v>16</v>
      </c>
      <c r="AA13" s="14">
        <v>2</v>
      </c>
      <c r="AB13" s="14">
        <v>0</v>
      </c>
      <c r="AC13" s="11"/>
      <c r="AD13" s="11"/>
      <c r="AE13" s="12"/>
      <c r="AF13" s="12"/>
      <c r="AG13" s="12"/>
      <c r="AH13" s="12"/>
      <c r="AI13" s="12"/>
    </row>
    <row r="14" spans="1:35" ht="24.95" customHeight="1" x14ac:dyDescent="0.35">
      <c r="A14" s="16"/>
      <c r="B14" s="17"/>
      <c r="C14" s="7">
        <v>3</v>
      </c>
      <c r="D14" s="13">
        <f t="shared" si="0"/>
        <v>159</v>
      </c>
      <c r="E14" s="14">
        <v>2465</v>
      </c>
      <c r="F14" s="14">
        <v>863</v>
      </c>
      <c r="G14" s="14">
        <v>133</v>
      </c>
      <c r="H14" s="14">
        <v>16</v>
      </c>
      <c r="I14" s="14">
        <v>5</v>
      </c>
      <c r="J14" s="14">
        <v>5</v>
      </c>
      <c r="K14" s="15">
        <v>92</v>
      </c>
      <c r="L14" s="15">
        <v>5</v>
      </c>
      <c r="M14" s="15">
        <v>52</v>
      </c>
      <c r="N14" s="15">
        <v>1</v>
      </c>
      <c r="O14" s="14">
        <v>27</v>
      </c>
      <c r="P14" s="14">
        <v>5</v>
      </c>
      <c r="Q14" s="14">
        <v>8</v>
      </c>
      <c r="R14" s="14">
        <v>6</v>
      </c>
      <c r="S14" s="14">
        <v>0</v>
      </c>
      <c r="U14" s="14">
        <f>2461+4</f>
        <v>2465</v>
      </c>
      <c r="V14" s="14">
        <v>862</v>
      </c>
      <c r="W14" s="14">
        <f>109+24</f>
        <v>133</v>
      </c>
      <c r="X14" s="15">
        <f>86+6</f>
        <v>92</v>
      </c>
      <c r="Y14" s="15">
        <f>32+17</f>
        <v>49</v>
      </c>
      <c r="Z14" s="14">
        <f>16+11</f>
        <v>27</v>
      </c>
      <c r="AA14" s="14">
        <f>2+3</f>
        <v>5</v>
      </c>
      <c r="AB14" s="14">
        <v>6</v>
      </c>
      <c r="AC14" s="11"/>
      <c r="AD14" s="11"/>
      <c r="AE14" s="12"/>
      <c r="AF14" s="12"/>
      <c r="AG14" s="12"/>
      <c r="AH14" s="12"/>
      <c r="AI14" s="12"/>
    </row>
    <row r="15" spans="1:35" ht="24.95" customHeight="1" x14ac:dyDescent="0.35">
      <c r="A15" s="7"/>
      <c r="B15" s="7"/>
      <c r="C15" s="7">
        <v>4</v>
      </c>
      <c r="D15" s="13">
        <f t="shared" si="0"/>
        <v>236</v>
      </c>
      <c r="E15" s="14">
        <v>1625</v>
      </c>
      <c r="F15" s="14">
        <v>1074</v>
      </c>
      <c r="G15" s="14">
        <v>182</v>
      </c>
      <c r="H15" s="14">
        <v>27</v>
      </c>
      <c r="I15" s="14">
        <v>25</v>
      </c>
      <c r="J15" s="14">
        <v>2</v>
      </c>
      <c r="K15" s="15">
        <v>136</v>
      </c>
      <c r="L15" s="15">
        <v>4</v>
      </c>
      <c r="M15" s="15">
        <v>64</v>
      </c>
      <c r="N15" s="15">
        <v>9</v>
      </c>
      <c r="O15" s="14">
        <v>18</v>
      </c>
      <c r="P15" s="14">
        <v>9</v>
      </c>
      <c r="Q15" s="14">
        <v>6</v>
      </c>
      <c r="R15" s="14">
        <v>3</v>
      </c>
      <c r="S15" s="14">
        <v>0</v>
      </c>
      <c r="U15" s="14">
        <f>1621+4</f>
        <v>1625</v>
      </c>
      <c r="V15" s="14">
        <v>1073</v>
      </c>
      <c r="W15" s="14">
        <f>158+24</f>
        <v>182</v>
      </c>
      <c r="X15" s="15">
        <f>130+6</f>
        <v>136</v>
      </c>
      <c r="Y15" s="15">
        <f>44+17</f>
        <v>61</v>
      </c>
      <c r="Z15" s="14">
        <f>6+12</f>
        <v>18</v>
      </c>
      <c r="AA15" s="14">
        <f>6</f>
        <v>6</v>
      </c>
      <c r="AB15" s="14">
        <v>4</v>
      </c>
      <c r="AC15" s="11"/>
      <c r="AD15" s="11"/>
      <c r="AE15" s="12"/>
      <c r="AF15" s="12"/>
      <c r="AG15" s="12"/>
      <c r="AH15" s="12"/>
      <c r="AI15" s="12"/>
    </row>
    <row r="16" spans="1:35" ht="24.95" customHeight="1" x14ac:dyDescent="0.35">
      <c r="A16" s="16"/>
      <c r="B16" s="7"/>
      <c r="C16" s="7">
        <v>5</v>
      </c>
      <c r="D16" s="13">
        <f t="shared" si="0"/>
        <v>210</v>
      </c>
      <c r="E16" s="14">
        <v>1840</v>
      </c>
      <c r="F16" s="14">
        <v>1391</v>
      </c>
      <c r="G16" s="14">
        <v>173</v>
      </c>
      <c r="H16" s="14">
        <v>20</v>
      </c>
      <c r="I16" s="14">
        <v>13</v>
      </c>
      <c r="J16" s="14">
        <v>4</v>
      </c>
      <c r="K16" s="15">
        <v>139</v>
      </c>
      <c r="L16" s="15">
        <v>6</v>
      </c>
      <c r="M16" s="15">
        <v>66</v>
      </c>
      <c r="N16" s="15">
        <v>3</v>
      </c>
      <c r="O16" s="14">
        <v>34</v>
      </c>
      <c r="P16" s="14">
        <v>13</v>
      </c>
      <c r="Q16" s="14">
        <v>11</v>
      </c>
      <c r="R16" s="14">
        <v>0</v>
      </c>
      <c r="S16" s="14">
        <v>0</v>
      </c>
      <c r="U16" s="14">
        <f>1836+4</f>
        <v>1840</v>
      </c>
      <c r="V16" s="14">
        <v>1390</v>
      </c>
      <c r="W16" s="14">
        <f>149+24</f>
        <v>173</v>
      </c>
      <c r="X16" s="15">
        <f>133+6</f>
        <v>139</v>
      </c>
      <c r="Y16" s="15">
        <f>46+18</f>
        <v>64</v>
      </c>
      <c r="Z16" s="14">
        <f>22+12</f>
        <v>34</v>
      </c>
      <c r="AA16" s="14"/>
      <c r="AB16" s="14">
        <v>9</v>
      </c>
      <c r="AC16" s="11"/>
      <c r="AD16" s="11"/>
      <c r="AE16" s="12"/>
      <c r="AF16" s="12"/>
      <c r="AG16" s="12"/>
      <c r="AH16" s="12"/>
      <c r="AI16" s="12"/>
    </row>
    <row r="17" spans="1:35" ht="24.95" customHeight="1" x14ac:dyDescent="0.35">
      <c r="A17" s="16"/>
      <c r="B17" s="7"/>
      <c r="C17" s="7">
        <v>6</v>
      </c>
      <c r="D17" s="13">
        <f t="shared" si="0"/>
        <v>392</v>
      </c>
      <c r="E17" s="14">
        <v>2921</v>
      </c>
      <c r="F17" s="14">
        <v>1109</v>
      </c>
      <c r="G17" s="14">
        <v>304</v>
      </c>
      <c r="H17" s="14">
        <v>40</v>
      </c>
      <c r="I17" s="14">
        <v>36</v>
      </c>
      <c r="J17" s="14">
        <v>12</v>
      </c>
      <c r="K17" s="15">
        <v>218</v>
      </c>
      <c r="L17" s="15">
        <v>13</v>
      </c>
      <c r="M17" s="15">
        <v>82</v>
      </c>
      <c r="N17" s="15">
        <v>10</v>
      </c>
      <c r="O17" s="14">
        <v>42</v>
      </c>
      <c r="P17" s="14">
        <v>21</v>
      </c>
      <c r="Q17" s="14">
        <v>8</v>
      </c>
      <c r="R17" s="14">
        <v>5</v>
      </c>
      <c r="S17" s="14">
        <v>0</v>
      </c>
      <c r="U17" s="14">
        <f>2917+4</f>
        <v>2921</v>
      </c>
      <c r="V17" s="14">
        <v>1107</v>
      </c>
      <c r="W17" s="14">
        <f>280+24</f>
        <v>304</v>
      </c>
      <c r="X17" s="15">
        <f>212+6</f>
        <v>218</v>
      </c>
      <c r="Y17" s="15">
        <f>62+17</f>
        <v>79</v>
      </c>
      <c r="Z17" s="14">
        <f>30+12</f>
        <v>42</v>
      </c>
      <c r="AA17" s="14">
        <v>17</v>
      </c>
      <c r="AB17" s="14">
        <v>6</v>
      </c>
      <c r="AC17" s="11"/>
      <c r="AD17" s="11"/>
      <c r="AE17" s="12"/>
      <c r="AF17" s="12"/>
      <c r="AG17" s="12"/>
      <c r="AH17" s="12"/>
      <c r="AI17" s="12"/>
    </row>
    <row r="18" spans="1:35" ht="24.95" customHeight="1" x14ac:dyDescent="0.35">
      <c r="A18" s="7"/>
      <c r="B18" s="7"/>
      <c r="C18" s="7">
        <v>7</v>
      </c>
      <c r="D18" s="13">
        <f t="shared" si="0"/>
        <v>148</v>
      </c>
      <c r="E18" s="14">
        <v>1115</v>
      </c>
      <c r="F18" s="14">
        <v>812</v>
      </c>
      <c r="G18" s="14">
        <v>115</v>
      </c>
      <c r="H18" s="14">
        <v>8</v>
      </c>
      <c r="I18" s="14">
        <v>16</v>
      </c>
      <c r="J18" s="14">
        <v>9</v>
      </c>
      <c r="K18" s="15">
        <v>77</v>
      </c>
      <c r="L18" s="15">
        <v>15</v>
      </c>
      <c r="M18" s="15">
        <v>43</v>
      </c>
      <c r="N18" s="15">
        <v>1</v>
      </c>
      <c r="O18" s="14">
        <v>20</v>
      </c>
      <c r="P18" s="14">
        <v>9</v>
      </c>
      <c r="Q18" s="14">
        <v>5</v>
      </c>
      <c r="R18" s="14">
        <v>0</v>
      </c>
      <c r="S18" s="14">
        <v>0</v>
      </c>
      <c r="U18" s="14">
        <f>1111+4</f>
        <v>1115</v>
      </c>
      <c r="V18" s="14">
        <v>810</v>
      </c>
      <c r="W18" s="14">
        <f>90+25</f>
        <v>115</v>
      </c>
      <c r="X18" s="15">
        <f>71+6</f>
        <v>77</v>
      </c>
      <c r="Y18" s="15">
        <f>23+17</f>
        <v>40</v>
      </c>
      <c r="Z18" s="14">
        <f>8+12</f>
        <v>20</v>
      </c>
      <c r="AA18" s="14">
        <v>6</v>
      </c>
      <c r="AB18" s="14">
        <v>2</v>
      </c>
      <c r="AC18" s="11"/>
      <c r="AD18" s="11"/>
      <c r="AE18" s="12"/>
      <c r="AF18" s="12"/>
      <c r="AG18" s="12"/>
      <c r="AH18" s="12"/>
      <c r="AI18" s="12"/>
    </row>
    <row r="19" spans="1:35" ht="24.95" customHeight="1" x14ac:dyDescent="0.35">
      <c r="A19" s="16"/>
      <c r="B19" s="7"/>
      <c r="C19" s="7">
        <v>8</v>
      </c>
      <c r="D19" s="13">
        <f t="shared" si="0"/>
        <v>341</v>
      </c>
      <c r="E19" s="14">
        <v>2890</v>
      </c>
      <c r="F19" s="14">
        <v>1215</v>
      </c>
      <c r="G19" s="14">
        <v>284</v>
      </c>
      <c r="H19" s="14">
        <v>32</v>
      </c>
      <c r="I19" s="14">
        <v>20</v>
      </c>
      <c r="J19" s="14">
        <v>5</v>
      </c>
      <c r="K19" s="15">
        <v>277</v>
      </c>
      <c r="L19" s="15">
        <v>4</v>
      </c>
      <c r="M19" s="15">
        <v>52</v>
      </c>
      <c r="N19" s="15">
        <v>1</v>
      </c>
      <c r="O19" s="14">
        <v>39</v>
      </c>
      <c r="P19" s="14">
        <v>16</v>
      </c>
      <c r="Q19" s="14">
        <v>8</v>
      </c>
      <c r="R19" s="14">
        <v>0</v>
      </c>
      <c r="S19" s="14">
        <v>0</v>
      </c>
      <c r="U19" s="14">
        <f>2886+4</f>
        <v>2890</v>
      </c>
      <c r="V19" s="14">
        <v>1213</v>
      </c>
      <c r="W19" s="14">
        <f>259+25</f>
        <v>284</v>
      </c>
      <c r="X19" s="15">
        <f>271+6</f>
        <v>277</v>
      </c>
      <c r="Y19" s="15">
        <f>32+17</f>
        <v>49</v>
      </c>
      <c r="Z19" s="14">
        <f>27+12</f>
        <v>39</v>
      </c>
      <c r="AA19" s="14">
        <v>13</v>
      </c>
      <c r="AB19" s="14">
        <v>5</v>
      </c>
      <c r="AC19" s="11"/>
      <c r="AD19" s="11"/>
      <c r="AE19" s="12"/>
      <c r="AF19" s="12"/>
      <c r="AG19" s="12"/>
      <c r="AH19" s="12"/>
      <c r="AI19" s="12"/>
    </row>
    <row r="20" spans="1:35" ht="24.95" customHeight="1" x14ac:dyDescent="0.35">
      <c r="A20" s="16"/>
      <c r="B20" s="7"/>
      <c r="C20" s="7">
        <v>9</v>
      </c>
      <c r="D20" s="13">
        <f t="shared" si="0"/>
        <v>654</v>
      </c>
      <c r="E20" s="14">
        <v>4100</v>
      </c>
      <c r="F20" s="14">
        <v>1345</v>
      </c>
      <c r="G20" s="14">
        <v>539</v>
      </c>
      <c r="H20" s="14">
        <v>41</v>
      </c>
      <c r="I20" s="14">
        <v>61</v>
      </c>
      <c r="J20" s="14">
        <v>13</v>
      </c>
      <c r="K20" s="15">
        <v>469</v>
      </c>
      <c r="L20" s="15">
        <v>12</v>
      </c>
      <c r="M20" s="15">
        <v>72</v>
      </c>
      <c r="N20" s="15">
        <v>8</v>
      </c>
      <c r="O20" s="14">
        <v>91</v>
      </c>
      <c r="P20" s="14">
        <v>35</v>
      </c>
      <c r="Q20" s="14">
        <v>35</v>
      </c>
      <c r="R20" s="14">
        <v>13</v>
      </c>
      <c r="S20" s="14">
        <v>0</v>
      </c>
      <c r="U20" s="14">
        <f>4095+5</f>
        <v>4100</v>
      </c>
      <c r="V20" s="14">
        <v>1343</v>
      </c>
      <c r="W20" s="14">
        <f>514+25</f>
        <v>539</v>
      </c>
      <c r="X20" s="15">
        <f>463+6</f>
        <v>469</v>
      </c>
      <c r="Y20" s="15">
        <f>51+17</f>
        <v>68</v>
      </c>
      <c r="Z20" s="14">
        <f>79+12</f>
        <v>91</v>
      </c>
      <c r="AA20" s="14">
        <v>35</v>
      </c>
      <c r="AB20" s="14">
        <v>32</v>
      </c>
      <c r="AC20" s="11"/>
      <c r="AD20" s="11"/>
      <c r="AE20" s="12"/>
      <c r="AF20" s="12"/>
      <c r="AG20" s="12"/>
      <c r="AH20" s="12"/>
      <c r="AI20" s="12"/>
    </row>
    <row r="21" spans="1:35" ht="18.75" customHeight="1" x14ac:dyDescent="0.35">
      <c r="A21" s="18"/>
      <c r="B21" s="18"/>
      <c r="C21" s="19" t="s">
        <v>33</v>
      </c>
      <c r="D21" s="20">
        <f>SUM(D12:D20)</f>
        <v>2465</v>
      </c>
      <c r="E21" s="21">
        <f t="shared" ref="E21:J21" si="1">SUM(E12:E20)</f>
        <v>21395</v>
      </c>
      <c r="F21" s="19">
        <f t="shared" si="1"/>
        <v>9639</v>
      </c>
      <c r="G21" s="22">
        <f>SUM(G12:G20)</f>
        <v>2009</v>
      </c>
      <c r="H21" s="22">
        <f t="shared" si="1"/>
        <v>218</v>
      </c>
      <c r="I21" s="19">
        <f t="shared" si="1"/>
        <v>186</v>
      </c>
      <c r="J21" s="19">
        <f t="shared" si="1"/>
        <v>52</v>
      </c>
      <c r="K21" s="19">
        <f>SUM(K12:K20)</f>
        <v>1620</v>
      </c>
      <c r="L21" s="19">
        <f>SUM(L12:L20)</f>
        <v>65</v>
      </c>
      <c r="M21" s="19">
        <f>SUM(M12:M20)</f>
        <v>522</v>
      </c>
      <c r="N21" s="19">
        <f>SUM(N12:N20)</f>
        <v>34</v>
      </c>
      <c r="O21" s="19">
        <f t="shared" ref="O21:R21" si="2">SUM(O12:O20)</f>
        <v>306</v>
      </c>
      <c r="P21" s="19">
        <f t="shared" si="2"/>
        <v>115</v>
      </c>
      <c r="Q21" s="19">
        <f t="shared" si="2"/>
        <v>86</v>
      </c>
      <c r="R21" s="19">
        <f t="shared" si="2"/>
        <v>28</v>
      </c>
      <c r="S21" s="19">
        <f>SUM(S12:S20)</f>
        <v>0</v>
      </c>
      <c r="U21" s="23">
        <f t="shared" ref="U21:Z21" si="3">SUM(U12:U20)</f>
        <v>21395</v>
      </c>
      <c r="V21" s="23">
        <f t="shared" si="3"/>
        <v>9626</v>
      </c>
      <c r="W21" s="23">
        <f t="shared" si="3"/>
        <v>2009</v>
      </c>
      <c r="X21" s="23">
        <f t="shared" si="3"/>
        <v>1620</v>
      </c>
      <c r="Y21" s="23">
        <f t="shared" si="3"/>
        <v>498</v>
      </c>
      <c r="Z21" s="23">
        <f t="shared" si="3"/>
        <v>306</v>
      </c>
    </row>
    <row r="22" spans="1:35" ht="24.95" customHeight="1" x14ac:dyDescent="0.35">
      <c r="A22" s="24">
        <v>2</v>
      </c>
      <c r="B22" s="24" t="s">
        <v>34</v>
      </c>
      <c r="C22" s="24">
        <v>1</v>
      </c>
      <c r="D22" s="13">
        <f t="shared" ref="D22:D30" si="4">W22+H22+I22+J22</f>
        <v>66</v>
      </c>
      <c r="E22" s="9">
        <v>159</v>
      </c>
      <c r="F22" s="9">
        <v>113</v>
      </c>
      <c r="G22" s="9">
        <v>59</v>
      </c>
      <c r="H22" s="9">
        <v>5</v>
      </c>
      <c r="I22" s="9">
        <v>2</v>
      </c>
      <c r="J22" s="9">
        <v>0</v>
      </c>
      <c r="K22" s="10">
        <v>46</v>
      </c>
      <c r="L22" s="10">
        <v>1</v>
      </c>
      <c r="M22" s="10">
        <v>13</v>
      </c>
      <c r="N22" s="10">
        <v>0</v>
      </c>
      <c r="O22" s="9">
        <v>3</v>
      </c>
      <c r="P22" s="9">
        <v>2</v>
      </c>
      <c r="Q22" s="9">
        <v>0</v>
      </c>
      <c r="R22" s="9">
        <v>0</v>
      </c>
      <c r="S22" s="9">
        <v>0</v>
      </c>
      <c r="U22" s="9">
        <f>153+6</f>
        <v>159</v>
      </c>
      <c r="V22" s="9">
        <f>109+4</f>
        <v>113</v>
      </c>
      <c r="W22" s="9">
        <f>43+16</f>
        <v>59</v>
      </c>
      <c r="X22" s="10">
        <f>43+3</f>
        <v>46</v>
      </c>
      <c r="Y22" s="10">
        <f>7+5</f>
        <v>12</v>
      </c>
    </row>
    <row r="23" spans="1:35" ht="24.95" customHeight="1" x14ac:dyDescent="0.35">
      <c r="A23" s="7"/>
      <c r="B23" s="7"/>
      <c r="C23" s="7">
        <v>2</v>
      </c>
      <c r="D23" s="13">
        <f t="shared" si="4"/>
        <v>70</v>
      </c>
      <c r="E23" s="14">
        <v>346</v>
      </c>
      <c r="F23" s="14">
        <v>122</v>
      </c>
      <c r="G23" s="14">
        <v>66</v>
      </c>
      <c r="H23" s="14">
        <v>2</v>
      </c>
      <c r="I23" s="14">
        <v>2</v>
      </c>
      <c r="J23" s="14">
        <v>0</v>
      </c>
      <c r="K23" s="15">
        <v>56</v>
      </c>
      <c r="L23" s="15">
        <v>0</v>
      </c>
      <c r="M23" s="15">
        <v>11</v>
      </c>
      <c r="N23" s="15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U23" s="14">
        <f>340+6</f>
        <v>346</v>
      </c>
      <c r="V23" s="14">
        <f>118+4</f>
        <v>122</v>
      </c>
      <c r="W23" s="14">
        <f>50+16</f>
        <v>66</v>
      </c>
      <c r="X23" s="15">
        <f>53+3</f>
        <v>56</v>
      </c>
      <c r="Y23" s="15">
        <f>5+5</f>
        <v>10</v>
      </c>
    </row>
    <row r="24" spans="1:35" ht="24.95" customHeight="1" x14ac:dyDescent="0.35">
      <c r="A24" s="16"/>
      <c r="B24" s="25"/>
      <c r="C24" s="7">
        <v>3</v>
      </c>
      <c r="D24" s="13">
        <f t="shared" si="4"/>
        <v>82</v>
      </c>
      <c r="E24" s="14">
        <v>130</v>
      </c>
      <c r="F24" s="14">
        <v>94</v>
      </c>
      <c r="G24" s="14">
        <v>71</v>
      </c>
      <c r="H24" s="14">
        <v>4</v>
      </c>
      <c r="I24" s="14">
        <v>6</v>
      </c>
      <c r="J24" s="14">
        <v>1</v>
      </c>
      <c r="K24" s="15">
        <v>65</v>
      </c>
      <c r="L24" s="15">
        <v>0</v>
      </c>
      <c r="M24" s="15">
        <v>15</v>
      </c>
      <c r="N24" s="15">
        <v>0</v>
      </c>
      <c r="O24" s="14">
        <v>7</v>
      </c>
      <c r="P24" s="14">
        <v>1</v>
      </c>
      <c r="Q24" s="14">
        <v>0</v>
      </c>
      <c r="R24" s="14">
        <v>0</v>
      </c>
      <c r="S24" s="14">
        <v>0</v>
      </c>
      <c r="U24" s="14">
        <f>124+6</f>
        <v>130</v>
      </c>
      <c r="V24" s="14">
        <f>90+4</f>
        <v>94</v>
      </c>
      <c r="W24" s="14">
        <f>54+17</f>
        <v>71</v>
      </c>
      <c r="X24" s="15">
        <f>61+4</f>
        <v>65</v>
      </c>
      <c r="Y24" s="15">
        <f>8+5</f>
        <v>13</v>
      </c>
    </row>
    <row r="25" spans="1:35" ht="24.95" customHeight="1" x14ac:dyDescent="0.35">
      <c r="A25" s="16"/>
      <c r="B25" s="7"/>
      <c r="C25" s="7">
        <v>4</v>
      </c>
      <c r="D25" s="13">
        <f t="shared" si="4"/>
        <v>161</v>
      </c>
      <c r="E25" s="14">
        <v>199</v>
      </c>
      <c r="F25" s="14">
        <v>121</v>
      </c>
      <c r="G25" s="14">
        <v>142</v>
      </c>
      <c r="H25" s="14">
        <v>11</v>
      </c>
      <c r="I25" s="14">
        <v>7</v>
      </c>
      <c r="J25" s="14">
        <v>1</v>
      </c>
      <c r="K25" s="15">
        <v>118</v>
      </c>
      <c r="L25" s="15">
        <v>5</v>
      </c>
      <c r="M25" s="15">
        <v>29</v>
      </c>
      <c r="N25" s="15">
        <v>0</v>
      </c>
      <c r="O25" s="14">
        <v>4</v>
      </c>
      <c r="P25" s="14">
        <v>5</v>
      </c>
      <c r="Q25" s="14">
        <v>1</v>
      </c>
      <c r="R25" s="14">
        <v>0</v>
      </c>
      <c r="S25" s="14">
        <v>0</v>
      </c>
      <c r="U25" s="14">
        <f>192+7</f>
        <v>199</v>
      </c>
      <c r="V25" s="14">
        <f>117+4</f>
        <v>121</v>
      </c>
      <c r="W25" s="14">
        <f>125+17</f>
        <v>142</v>
      </c>
      <c r="X25" s="15">
        <f>114+4</f>
        <v>118</v>
      </c>
      <c r="Y25" s="15">
        <f>22+5</f>
        <v>27</v>
      </c>
    </row>
    <row r="26" spans="1:35" ht="24.95" customHeight="1" x14ac:dyDescent="0.35">
      <c r="A26" s="16"/>
      <c r="B26" s="7"/>
      <c r="C26" s="7">
        <v>5</v>
      </c>
      <c r="D26" s="13">
        <f t="shared" si="4"/>
        <v>157</v>
      </c>
      <c r="E26" s="14">
        <v>993</v>
      </c>
      <c r="F26" s="14">
        <v>182</v>
      </c>
      <c r="G26" s="14">
        <v>141</v>
      </c>
      <c r="H26" s="14">
        <v>8</v>
      </c>
      <c r="I26" s="14">
        <v>6</v>
      </c>
      <c r="J26" s="14">
        <v>2</v>
      </c>
      <c r="K26" s="15">
        <v>111</v>
      </c>
      <c r="L26" s="15">
        <v>5</v>
      </c>
      <c r="M26" s="15">
        <v>26</v>
      </c>
      <c r="N26" s="15">
        <v>4</v>
      </c>
      <c r="O26" s="14">
        <v>8</v>
      </c>
      <c r="P26" s="14">
        <v>3</v>
      </c>
      <c r="Q26" s="14">
        <v>1</v>
      </c>
      <c r="R26" s="14">
        <v>7</v>
      </c>
      <c r="S26" s="14">
        <v>0</v>
      </c>
      <c r="U26" s="14">
        <f>986+7</f>
        <v>993</v>
      </c>
      <c r="V26" s="14">
        <f>177+5</f>
        <v>182</v>
      </c>
      <c r="W26" s="14">
        <f>124+17</f>
        <v>141</v>
      </c>
      <c r="X26" s="15">
        <f>107+4</f>
        <v>111</v>
      </c>
      <c r="Y26" s="15">
        <f>17+6</f>
        <v>23</v>
      </c>
    </row>
    <row r="27" spans="1:35" ht="24.95" customHeight="1" x14ac:dyDescent="0.35">
      <c r="A27" s="16"/>
      <c r="B27" s="7"/>
      <c r="C27" s="7">
        <v>6</v>
      </c>
      <c r="D27" s="13">
        <f t="shared" si="4"/>
        <v>314</v>
      </c>
      <c r="E27" s="14">
        <v>706</v>
      </c>
      <c r="F27" s="14">
        <v>205</v>
      </c>
      <c r="G27" s="14">
        <v>283</v>
      </c>
      <c r="H27" s="14">
        <v>13</v>
      </c>
      <c r="I27" s="14">
        <v>14</v>
      </c>
      <c r="J27" s="14">
        <v>4</v>
      </c>
      <c r="K27" s="15">
        <v>187</v>
      </c>
      <c r="L27" s="15">
        <v>6</v>
      </c>
      <c r="M27" s="15">
        <v>75</v>
      </c>
      <c r="N27" s="15">
        <v>7</v>
      </c>
      <c r="O27" s="14">
        <v>17</v>
      </c>
      <c r="P27" s="14">
        <v>6</v>
      </c>
      <c r="Q27" s="14">
        <v>5</v>
      </c>
      <c r="R27" s="14">
        <v>0</v>
      </c>
      <c r="S27" s="14">
        <v>0</v>
      </c>
      <c r="U27" s="14">
        <f>699+7</f>
        <v>706</v>
      </c>
      <c r="V27" s="14">
        <f>200+5</f>
        <v>205</v>
      </c>
      <c r="W27" s="14">
        <f>266+17</f>
        <v>283</v>
      </c>
      <c r="X27" s="15">
        <f>183+4</f>
        <v>187</v>
      </c>
      <c r="Y27" s="15">
        <f>66+6</f>
        <v>72</v>
      </c>
    </row>
    <row r="28" spans="1:35" ht="24.95" customHeight="1" x14ac:dyDescent="0.35">
      <c r="A28" s="7"/>
      <c r="B28" s="7"/>
      <c r="C28" s="7">
        <v>7</v>
      </c>
      <c r="D28" s="13">
        <f t="shared" si="4"/>
        <v>76</v>
      </c>
      <c r="E28" s="14">
        <v>810</v>
      </c>
      <c r="F28" s="14">
        <v>105</v>
      </c>
      <c r="G28" s="14">
        <v>60</v>
      </c>
      <c r="H28" s="14">
        <v>6</v>
      </c>
      <c r="I28" s="14">
        <v>10</v>
      </c>
      <c r="J28" s="14">
        <v>0</v>
      </c>
      <c r="K28" s="15">
        <v>50</v>
      </c>
      <c r="L28" s="15">
        <v>5</v>
      </c>
      <c r="M28" s="15">
        <v>16</v>
      </c>
      <c r="N28" s="15">
        <v>3</v>
      </c>
      <c r="O28" s="14">
        <v>5</v>
      </c>
      <c r="P28" s="14">
        <v>4</v>
      </c>
      <c r="Q28" s="14">
        <v>2</v>
      </c>
      <c r="R28" s="14">
        <v>0</v>
      </c>
      <c r="S28" s="14">
        <v>0</v>
      </c>
      <c r="U28" s="14">
        <f>803+7</f>
        <v>810</v>
      </c>
      <c r="V28" s="14">
        <f>100+5</f>
        <v>105</v>
      </c>
      <c r="W28" s="14">
        <f>43+17</f>
        <v>60</v>
      </c>
      <c r="X28" s="15">
        <f>46+4</f>
        <v>50</v>
      </c>
      <c r="Y28" s="15">
        <f>8+6</f>
        <v>14</v>
      </c>
    </row>
    <row r="29" spans="1:35" ht="24.95" customHeight="1" x14ac:dyDescent="0.35">
      <c r="A29" s="16"/>
      <c r="B29" s="7"/>
      <c r="C29" s="7">
        <v>8</v>
      </c>
      <c r="D29" s="13">
        <f t="shared" si="4"/>
        <v>156</v>
      </c>
      <c r="E29" s="14">
        <v>382</v>
      </c>
      <c r="F29" s="14">
        <v>130</v>
      </c>
      <c r="G29" s="14">
        <v>134</v>
      </c>
      <c r="H29" s="14">
        <v>15</v>
      </c>
      <c r="I29" s="14">
        <v>7</v>
      </c>
      <c r="J29" s="14">
        <v>0</v>
      </c>
      <c r="K29" s="15">
        <v>114</v>
      </c>
      <c r="L29" s="15">
        <v>3</v>
      </c>
      <c r="M29" s="15">
        <v>28</v>
      </c>
      <c r="N29" s="15">
        <v>1</v>
      </c>
      <c r="O29" s="14">
        <v>14</v>
      </c>
      <c r="P29" s="14">
        <v>5</v>
      </c>
      <c r="Q29" s="14">
        <v>0</v>
      </c>
      <c r="R29" s="14">
        <v>0</v>
      </c>
      <c r="S29" s="14">
        <v>0</v>
      </c>
      <c r="U29" s="14">
        <f>375+7</f>
        <v>382</v>
      </c>
      <c r="V29" s="14">
        <f>125+5</f>
        <v>130</v>
      </c>
      <c r="W29" s="14">
        <f>117+17</f>
        <v>134</v>
      </c>
      <c r="X29" s="15">
        <f>110+4</f>
        <v>114</v>
      </c>
      <c r="Y29" s="15">
        <f>20+6</f>
        <v>26</v>
      </c>
    </row>
    <row r="30" spans="1:35" ht="24.95" customHeight="1" x14ac:dyDescent="0.35">
      <c r="A30" s="16"/>
      <c r="B30" s="7"/>
      <c r="C30" s="7">
        <v>9</v>
      </c>
      <c r="D30" s="13">
        <f t="shared" si="4"/>
        <v>312</v>
      </c>
      <c r="E30" s="14">
        <v>423</v>
      </c>
      <c r="F30" s="14">
        <v>181</v>
      </c>
      <c r="G30" s="14">
        <v>277</v>
      </c>
      <c r="H30" s="14">
        <v>18</v>
      </c>
      <c r="I30" s="14">
        <v>12</v>
      </c>
      <c r="J30" s="14">
        <v>5</v>
      </c>
      <c r="K30" s="15">
        <v>147</v>
      </c>
      <c r="L30" s="15">
        <v>11</v>
      </c>
      <c r="M30" s="15">
        <v>75</v>
      </c>
      <c r="N30" s="15">
        <v>4</v>
      </c>
      <c r="O30" s="14">
        <v>36</v>
      </c>
      <c r="P30" s="14">
        <v>19</v>
      </c>
      <c r="Q30" s="14">
        <v>13</v>
      </c>
      <c r="R30" s="14">
        <v>0</v>
      </c>
      <c r="S30" s="14">
        <v>0</v>
      </c>
      <c r="U30" s="14">
        <f>416+7</f>
        <v>423</v>
      </c>
      <c r="V30" s="14">
        <f>177+4</f>
        <v>181</v>
      </c>
      <c r="W30" s="14">
        <f>260+17</f>
        <v>277</v>
      </c>
      <c r="X30" s="15">
        <f>143+4</f>
        <v>147</v>
      </c>
      <c r="Y30" s="15">
        <f>67+6</f>
        <v>73</v>
      </c>
    </row>
    <row r="31" spans="1:35" ht="18" customHeight="1" x14ac:dyDescent="0.35">
      <c r="A31" s="19"/>
      <c r="B31" s="19"/>
      <c r="C31" s="19" t="s">
        <v>33</v>
      </c>
      <c r="D31" s="22">
        <f>SUM(D22:D30)</f>
        <v>1394</v>
      </c>
      <c r="E31" s="22">
        <f t="shared" ref="E31:J31" si="5">SUM(E22:E30)</f>
        <v>4148</v>
      </c>
      <c r="F31" s="19">
        <f t="shared" si="5"/>
        <v>1253</v>
      </c>
      <c r="G31" s="22">
        <f>SUM(G22:G30)</f>
        <v>1233</v>
      </c>
      <c r="H31" s="19">
        <f t="shared" si="5"/>
        <v>82</v>
      </c>
      <c r="I31" s="19">
        <f t="shared" si="5"/>
        <v>66</v>
      </c>
      <c r="J31" s="19">
        <f t="shared" si="5"/>
        <v>13</v>
      </c>
      <c r="K31" s="19">
        <f>SUM(K22:K30)</f>
        <v>894</v>
      </c>
      <c r="L31" s="19">
        <f>SUM(L22:L30)</f>
        <v>36</v>
      </c>
      <c r="M31" s="19">
        <f>SUM(M22:M30)</f>
        <v>288</v>
      </c>
      <c r="N31" s="19">
        <f>SUM(N22:N30)</f>
        <v>19</v>
      </c>
      <c r="O31" s="19">
        <f t="shared" ref="O31:R31" si="6">SUM(O22:O30)</f>
        <v>94</v>
      </c>
      <c r="P31" s="19">
        <f t="shared" si="6"/>
        <v>45</v>
      </c>
      <c r="Q31" s="19">
        <f t="shared" si="6"/>
        <v>22</v>
      </c>
      <c r="R31" s="19">
        <f t="shared" si="6"/>
        <v>7</v>
      </c>
      <c r="S31" s="19">
        <f>SUM(S22:S30)</f>
        <v>0</v>
      </c>
      <c r="T31" s="23"/>
      <c r="U31" s="23">
        <f>SUM(U22:U30)</f>
        <v>4148</v>
      </c>
      <c r="V31" s="23">
        <f>SUM(V22:V30)</f>
        <v>1253</v>
      </c>
      <c r="W31" s="23">
        <f>SUM(W22:W30)</f>
        <v>1233</v>
      </c>
      <c r="X31" s="23">
        <f>SUM(X22:X30)</f>
        <v>894</v>
      </c>
      <c r="Y31" s="23">
        <f>SUM(Y22:Y30)</f>
        <v>270</v>
      </c>
    </row>
    <row r="32" spans="1:35" ht="24.95" customHeight="1" x14ac:dyDescent="0.35">
      <c r="A32" s="24">
        <v>3</v>
      </c>
      <c r="B32" s="24" t="s">
        <v>35</v>
      </c>
      <c r="C32" s="24">
        <v>1</v>
      </c>
      <c r="D32" s="13">
        <f t="shared" ref="D32:D95" si="7">G32+H32+I32+J32</f>
        <v>84</v>
      </c>
      <c r="E32" s="9">
        <v>333</v>
      </c>
      <c r="F32" s="9">
        <v>172</v>
      </c>
      <c r="G32" s="9">
        <v>77</v>
      </c>
      <c r="H32" s="9">
        <v>5</v>
      </c>
      <c r="I32" s="9">
        <v>2</v>
      </c>
      <c r="J32" s="9">
        <v>0</v>
      </c>
      <c r="K32" s="10">
        <v>53</v>
      </c>
      <c r="L32" s="10">
        <v>1</v>
      </c>
      <c r="M32" s="10">
        <v>20</v>
      </c>
      <c r="N32" s="10">
        <v>0</v>
      </c>
      <c r="O32" s="9">
        <v>3</v>
      </c>
      <c r="P32" s="9">
        <v>2</v>
      </c>
      <c r="Q32" s="9">
        <v>0</v>
      </c>
      <c r="R32" s="9">
        <v>0</v>
      </c>
      <c r="S32" s="9">
        <v>0</v>
      </c>
      <c r="U32" s="9">
        <f>315+18</f>
        <v>333</v>
      </c>
      <c r="V32" s="9">
        <f>155+17</f>
        <v>172</v>
      </c>
      <c r="W32" s="9">
        <f>53+24</f>
        <v>77</v>
      </c>
      <c r="X32" s="10">
        <f>46+7</f>
        <v>53</v>
      </c>
      <c r="Y32" s="10">
        <f>10+7</f>
        <v>17</v>
      </c>
    </row>
    <row r="33" spans="1:25" ht="24.95" customHeight="1" x14ac:dyDescent="0.35">
      <c r="A33" s="7"/>
      <c r="B33" s="7"/>
      <c r="C33" s="7">
        <v>2</v>
      </c>
      <c r="D33" s="13">
        <f t="shared" si="7"/>
        <v>92</v>
      </c>
      <c r="E33" s="14">
        <v>341</v>
      </c>
      <c r="F33" s="14">
        <v>141</v>
      </c>
      <c r="G33" s="14">
        <v>85</v>
      </c>
      <c r="H33" s="14">
        <v>4</v>
      </c>
      <c r="I33" s="14">
        <v>3</v>
      </c>
      <c r="J33" s="14">
        <v>0</v>
      </c>
      <c r="K33" s="15">
        <v>59</v>
      </c>
      <c r="L33" s="15">
        <v>0</v>
      </c>
      <c r="M33" s="15">
        <v>16</v>
      </c>
      <c r="N33" s="15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U33" s="14">
        <f>323+18</f>
        <v>341</v>
      </c>
      <c r="V33" s="14">
        <f>124+17</f>
        <v>141</v>
      </c>
      <c r="W33" s="14">
        <f>61+24</f>
        <v>85</v>
      </c>
      <c r="X33" s="15">
        <f>52+7</f>
        <v>59</v>
      </c>
      <c r="Y33" s="15">
        <f>6+7</f>
        <v>13</v>
      </c>
    </row>
    <row r="34" spans="1:25" ht="24.95" customHeight="1" x14ac:dyDescent="0.35">
      <c r="A34" s="16"/>
      <c r="B34" s="25"/>
      <c r="C34" s="7">
        <v>3</v>
      </c>
      <c r="D34" s="13">
        <f t="shared" si="7"/>
        <v>81</v>
      </c>
      <c r="E34" s="14">
        <v>293</v>
      </c>
      <c r="F34" s="14">
        <v>99</v>
      </c>
      <c r="G34" s="14">
        <v>72</v>
      </c>
      <c r="H34" s="14">
        <v>8</v>
      </c>
      <c r="I34" s="14">
        <v>1</v>
      </c>
      <c r="J34" s="14">
        <v>0</v>
      </c>
      <c r="K34" s="15">
        <v>53</v>
      </c>
      <c r="L34" s="15">
        <v>3</v>
      </c>
      <c r="M34" s="15">
        <v>15</v>
      </c>
      <c r="N34" s="15">
        <v>0</v>
      </c>
      <c r="O34" s="14">
        <v>2</v>
      </c>
      <c r="P34" s="14">
        <v>0</v>
      </c>
      <c r="Q34" s="14">
        <v>0</v>
      </c>
      <c r="R34" s="14">
        <v>0</v>
      </c>
      <c r="S34" s="14">
        <v>0</v>
      </c>
      <c r="U34" s="14">
        <f>275+18</f>
        <v>293</v>
      </c>
      <c r="V34" s="14">
        <f>82+17</f>
        <v>99</v>
      </c>
      <c r="W34" s="14">
        <f>48+24</f>
        <v>72</v>
      </c>
      <c r="X34" s="15">
        <f>46+7</f>
        <v>53</v>
      </c>
      <c r="Y34" s="15">
        <f>5+7</f>
        <v>12</v>
      </c>
    </row>
    <row r="35" spans="1:25" ht="24.95" customHeight="1" x14ac:dyDescent="0.35">
      <c r="A35" s="7"/>
      <c r="B35" s="7"/>
      <c r="C35" s="7">
        <v>4</v>
      </c>
      <c r="D35" s="13">
        <f t="shared" si="7"/>
        <v>177</v>
      </c>
      <c r="E35" s="14">
        <v>255</v>
      </c>
      <c r="F35" s="14">
        <v>142</v>
      </c>
      <c r="G35" s="14">
        <v>153</v>
      </c>
      <c r="H35" s="14">
        <v>15</v>
      </c>
      <c r="I35" s="14">
        <v>8</v>
      </c>
      <c r="J35" s="14">
        <v>1</v>
      </c>
      <c r="K35" s="15">
        <v>111</v>
      </c>
      <c r="L35" s="15">
        <v>7</v>
      </c>
      <c r="M35" s="15">
        <v>38</v>
      </c>
      <c r="N35" s="15">
        <v>2</v>
      </c>
      <c r="O35" s="14">
        <v>7</v>
      </c>
      <c r="P35" s="14">
        <v>2</v>
      </c>
      <c r="Q35" s="14">
        <v>2</v>
      </c>
      <c r="R35" s="14">
        <v>0</v>
      </c>
      <c r="S35" s="14">
        <v>0</v>
      </c>
      <c r="U35" s="14">
        <f>237+18</f>
        <v>255</v>
      </c>
      <c r="V35" s="14">
        <f>125+17</f>
        <v>142</v>
      </c>
      <c r="W35" s="14">
        <f>129+24</f>
        <v>153</v>
      </c>
      <c r="X35" s="15">
        <f>104+7</f>
        <v>111</v>
      </c>
      <c r="Y35" s="15">
        <f>28+7</f>
        <v>35</v>
      </c>
    </row>
    <row r="36" spans="1:25" ht="24.95" customHeight="1" x14ac:dyDescent="0.35">
      <c r="A36" s="16"/>
      <c r="B36" s="7"/>
      <c r="C36" s="7">
        <v>5</v>
      </c>
      <c r="D36" s="13">
        <f t="shared" si="7"/>
        <v>246</v>
      </c>
      <c r="E36" s="14">
        <v>1233</v>
      </c>
      <c r="F36" s="14">
        <v>312</v>
      </c>
      <c r="G36" s="14">
        <v>207</v>
      </c>
      <c r="H36" s="14">
        <v>21</v>
      </c>
      <c r="I36" s="14">
        <v>16</v>
      </c>
      <c r="J36" s="14">
        <v>2</v>
      </c>
      <c r="K36" s="15">
        <v>186</v>
      </c>
      <c r="L36" s="15">
        <v>6</v>
      </c>
      <c r="M36" s="15">
        <v>38</v>
      </c>
      <c r="N36" s="15">
        <v>4</v>
      </c>
      <c r="O36" s="14">
        <v>10</v>
      </c>
      <c r="P36" s="14">
        <v>6</v>
      </c>
      <c r="Q36" s="14">
        <v>6</v>
      </c>
      <c r="R36" s="14">
        <v>2</v>
      </c>
      <c r="S36" s="14">
        <v>0</v>
      </c>
      <c r="U36" s="14">
        <f>1215+18</f>
        <v>1233</v>
      </c>
      <c r="V36" s="14">
        <f>295+17</f>
        <v>312</v>
      </c>
      <c r="W36" s="14">
        <f>183+24</f>
        <v>207</v>
      </c>
      <c r="X36" s="15">
        <f>179+7</f>
        <v>186</v>
      </c>
      <c r="Y36" s="15">
        <f>28+7</f>
        <v>35</v>
      </c>
    </row>
    <row r="37" spans="1:25" ht="24.95" customHeight="1" x14ac:dyDescent="0.35">
      <c r="A37" s="7"/>
      <c r="B37" s="7"/>
      <c r="C37" s="7">
        <v>6</v>
      </c>
      <c r="D37" s="13">
        <f t="shared" si="7"/>
        <v>301</v>
      </c>
      <c r="E37" s="14">
        <v>1011</v>
      </c>
      <c r="F37" s="14">
        <v>309</v>
      </c>
      <c r="G37" s="14">
        <v>266</v>
      </c>
      <c r="H37" s="14">
        <v>18</v>
      </c>
      <c r="I37" s="14">
        <v>16</v>
      </c>
      <c r="J37" s="14">
        <v>1</v>
      </c>
      <c r="K37" s="15">
        <v>163</v>
      </c>
      <c r="L37" s="15">
        <v>7</v>
      </c>
      <c r="M37" s="15">
        <v>72</v>
      </c>
      <c r="N37" s="15">
        <v>5</v>
      </c>
      <c r="O37" s="14">
        <v>4</v>
      </c>
      <c r="P37" s="14">
        <v>9</v>
      </c>
      <c r="Q37" s="14">
        <v>5</v>
      </c>
      <c r="R37" s="14">
        <v>0</v>
      </c>
      <c r="S37" s="14">
        <v>0</v>
      </c>
      <c r="U37" s="14">
        <f>993+18</f>
        <v>1011</v>
      </c>
      <c r="V37" s="14">
        <f>292+17</f>
        <v>309</v>
      </c>
      <c r="W37" s="14">
        <f>242+24</f>
        <v>266</v>
      </c>
      <c r="X37" s="15">
        <f>156+7</f>
        <v>163</v>
      </c>
      <c r="Y37" s="15">
        <f>61+7</f>
        <v>68</v>
      </c>
    </row>
    <row r="38" spans="1:25" ht="24.95" customHeight="1" x14ac:dyDescent="0.35">
      <c r="A38" s="7"/>
      <c r="B38" s="7"/>
      <c r="C38" s="7">
        <v>7</v>
      </c>
      <c r="D38" s="13">
        <f t="shared" si="7"/>
        <v>86</v>
      </c>
      <c r="E38" s="14">
        <v>795</v>
      </c>
      <c r="F38" s="14">
        <v>169</v>
      </c>
      <c r="G38" s="14">
        <v>78</v>
      </c>
      <c r="H38" s="14">
        <v>4</v>
      </c>
      <c r="I38" s="14">
        <v>4</v>
      </c>
      <c r="J38" s="14">
        <v>0</v>
      </c>
      <c r="K38" s="15">
        <v>56</v>
      </c>
      <c r="L38" s="15">
        <v>3</v>
      </c>
      <c r="M38" s="15">
        <v>17</v>
      </c>
      <c r="N38" s="15">
        <v>3</v>
      </c>
      <c r="O38" s="14">
        <v>8</v>
      </c>
      <c r="P38" s="14">
        <v>3</v>
      </c>
      <c r="Q38" s="14">
        <v>2</v>
      </c>
      <c r="R38" s="14">
        <v>0</v>
      </c>
      <c r="S38" s="14">
        <v>0</v>
      </c>
      <c r="U38" s="14">
        <f>777+18</f>
        <v>795</v>
      </c>
      <c r="V38" s="14">
        <f>152+17</f>
        <v>169</v>
      </c>
      <c r="W38" s="14">
        <f>54+24</f>
        <v>78</v>
      </c>
      <c r="X38" s="15">
        <f>48+8</f>
        <v>56</v>
      </c>
      <c r="Y38" s="15">
        <f>6+7</f>
        <v>13</v>
      </c>
    </row>
    <row r="39" spans="1:25" ht="24.95" customHeight="1" x14ac:dyDescent="0.35">
      <c r="A39" s="16"/>
      <c r="B39" s="7"/>
      <c r="C39" s="7">
        <v>8</v>
      </c>
      <c r="D39" s="13">
        <f t="shared" si="7"/>
        <v>170</v>
      </c>
      <c r="E39" s="14">
        <v>368</v>
      </c>
      <c r="F39" s="14">
        <v>143</v>
      </c>
      <c r="G39" s="14">
        <v>147</v>
      </c>
      <c r="H39" s="14">
        <v>11</v>
      </c>
      <c r="I39" s="14">
        <v>12</v>
      </c>
      <c r="J39" s="14">
        <v>0</v>
      </c>
      <c r="K39" s="15">
        <v>113</v>
      </c>
      <c r="L39" s="15">
        <v>6</v>
      </c>
      <c r="M39" s="15">
        <v>45</v>
      </c>
      <c r="N39" s="15">
        <v>2</v>
      </c>
      <c r="O39" s="14">
        <v>6</v>
      </c>
      <c r="P39" s="14">
        <v>4</v>
      </c>
      <c r="Q39" s="14">
        <v>2</v>
      </c>
      <c r="R39" s="14">
        <v>0</v>
      </c>
      <c r="S39" s="14">
        <v>0</v>
      </c>
      <c r="U39" s="14">
        <f>350+18</f>
        <v>368</v>
      </c>
      <c r="V39" s="14">
        <f>126+17</f>
        <v>143</v>
      </c>
      <c r="W39" s="14">
        <f>122+25</f>
        <v>147</v>
      </c>
      <c r="X39" s="15">
        <f>105+8</f>
        <v>113</v>
      </c>
      <c r="Y39" s="15">
        <f>33+8</f>
        <v>41</v>
      </c>
    </row>
    <row r="40" spans="1:25" ht="24.95" customHeight="1" x14ac:dyDescent="0.35">
      <c r="A40" s="16"/>
      <c r="B40" s="7"/>
      <c r="C40" s="7">
        <v>9</v>
      </c>
      <c r="D40" s="13">
        <f t="shared" si="7"/>
        <v>382</v>
      </c>
      <c r="E40" s="14">
        <v>1050</v>
      </c>
      <c r="F40" s="14">
        <v>588</v>
      </c>
      <c r="G40" s="14">
        <v>316</v>
      </c>
      <c r="H40" s="14">
        <v>35</v>
      </c>
      <c r="I40" s="14">
        <v>24</v>
      </c>
      <c r="J40" s="14">
        <v>7</v>
      </c>
      <c r="K40" s="15">
        <v>216</v>
      </c>
      <c r="L40" s="15">
        <v>8</v>
      </c>
      <c r="M40" s="15">
        <v>65</v>
      </c>
      <c r="N40" s="15">
        <v>5</v>
      </c>
      <c r="O40" s="14">
        <v>25</v>
      </c>
      <c r="P40" s="14">
        <v>6</v>
      </c>
      <c r="Q40" s="14">
        <v>8</v>
      </c>
      <c r="R40" s="14">
        <v>10</v>
      </c>
      <c r="S40" s="14">
        <v>0</v>
      </c>
      <c r="U40" s="14">
        <f>1032+18</f>
        <v>1050</v>
      </c>
      <c r="V40" s="14">
        <f>570+18</f>
        <v>588</v>
      </c>
      <c r="W40" s="14">
        <f>291+25</f>
        <v>316</v>
      </c>
      <c r="X40" s="15">
        <f>208+8</f>
        <v>216</v>
      </c>
      <c r="Y40" s="15">
        <f>53+8</f>
        <v>61</v>
      </c>
    </row>
    <row r="41" spans="1:25" ht="18" customHeight="1" x14ac:dyDescent="0.35">
      <c r="A41" s="19"/>
      <c r="B41" s="19"/>
      <c r="C41" s="19" t="s">
        <v>33</v>
      </c>
      <c r="D41" s="19">
        <f t="shared" ref="D41:J41" si="8">SUM(D32:D40)</f>
        <v>1619</v>
      </c>
      <c r="E41" s="19">
        <f t="shared" si="8"/>
        <v>5679</v>
      </c>
      <c r="F41" s="19">
        <f t="shared" si="8"/>
        <v>2075</v>
      </c>
      <c r="G41" s="19">
        <f t="shared" si="8"/>
        <v>1401</v>
      </c>
      <c r="H41" s="19">
        <f t="shared" si="8"/>
        <v>121</v>
      </c>
      <c r="I41" s="19">
        <f t="shared" si="8"/>
        <v>86</v>
      </c>
      <c r="J41" s="19">
        <f t="shared" si="8"/>
        <v>11</v>
      </c>
      <c r="K41" s="19">
        <f>SUM(K32:K40)</f>
        <v>1010</v>
      </c>
      <c r="L41" s="19">
        <f>SUM(L32:L40)</f>
        <v>41</v>
      </c>
      <c r="M41" s="19">
        <f>SUM(M32:M40)</f>
        <v>326</v>
      </c>
      <c r="N41" s="19">
        <f>SUM(N32:N40)</f>
        <v>21</v>
      </c>
      <c r="O41" s="19">
        <f t="shared" ref="O41:R41" si="9">SUM(O32:O40)</f>
        <v>65</v>
      </c>
      <c r="P41" s="19">
        <f t="shared" si="9"/>
        <v>32</v>
      </c>
      <c r="Q41" s="19">
        <f t="shared" si="9"/>
        <v>25</v>
      </c>
      <c r="R41" s="19">
        <f t="shared" si="9"/>
        <v>12</v>
      </c>
      <c r="S41" s="19">
        <f>SUM(S32:S40)</f>
        <v>0</v>
      </c>
      <c r="U41" s="23">
        <f>SUM(U32:U40)</f>
        <v>5679</v>
      </c>
      <c r="V41" s="23">
        <f>SUM(V32:V40)</f>
        <v>2075</v>
      </c>
      <c r="W41" s="23">
        <f>SUM(W32:W40)</f>
        <v>1401</v>
      </c>
      <c r="X41" s="23">
        <f>SUM(X32:X40)</f>
        <v>1010</v>
      </c>
      <c r="Y41" s="23">
        <f>SUM(Y32:Y40)</f>
        <v>295</v>
      </c>
    </row>
    <row r="42" spans="1:25" ht="24.95" customHeight="1" x14ac:dyDescent="0.35">
      <c r="A42" s="24">
        <v>4</v>
      </c>
      <c r="B42" s="24" t="s">
        <v>36</v>
      </c>
      <c r="C42" s="24">
        <v>1</v>
      </c>
      <c r="D42" s="13">
        <f t="shared" si="7"/>
        <v>51</v>
      </c>
      <c r="E42" s="9">
        <v>145</v>
      </c>
      <c r="F42" s="9">
        <v>56</v>
      </c>
      <c r="G42" s="9">
        <v>51</v>
      </c>
      <c r="H42" s="9">
        <v>0</v>
      </c>
      <c r="I42" s="9">
        <v>0</v>
      </c>
      <c r="J42" s="9">
        <v>0</v>
      </c>
      <c r="K42" s="10">
        <v>21</v>
      </c>
      <c r="L42" s="10">
        <v>1</v>
      </c>
      <c r="M42" s="10">
        <v>6</v>
      </c>
      <c r="N42" s="10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U42" s="9">
        <f>129+16</f>
        <v>145</v>
      </c>
      <c r="V42" s="9">
        <f>31+25</f>
        <v>56</v>
      </c>
      <c r="W42" s="9">
        <f>20+31</f>
        <v>51</v>
      </c>
    </row>
    <row r="43" spans="1:25" ht="24.95" customHeight="1" x14ac:dyDescent="0.35">
      <c r="A43" s="7"/>
      <c r="B43" s="7"/>
      <c r="C43" s="7">
        <v>2</v>
      </c>
      <c r="D43" s="13">
        <f t="shared" si="7"/>
        <v>53</v>
      </c>
      <c r="E43" s="14">
        <v>109</v>
      </c>
      <c r="F43" s="14">
        <v>72</v>
      </c>
      <c r="G43" s="14">
        <v>50</v>
      </c>
      <c r="H43" s="14">
        <v>3</v>
      </c>
      <c r="I43" s="14">
        <v>0</v>
      </c>
      <c r="J43" s="14">
        <v>0</v>
      </c>
      <c r="K43" s="15">
        <v>25</v>
      </c>
      <c r="L43" s="15">
        <v>0</v>
      </c>
      <c r="M43" s="15">
        <v>7</v>
      </c>
      <c r="N43" s="15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U43" s="14">
        <f>93+16</f>
        <v>109</v>
      </c>
      <c r="V43" s="14">
        <f>47+25</f>
        <v>72</v>
      </c>
      <c r="W43" s="14">
        <f>19+31</f>
        <v>50</v>
      </c>
    </row>
    <row r="44" spans="1:25" ht="24.95" customHeight="1" x14ac:dyDescent="0.35">
      <c r="A44" s="16"/>
      <c r="B44" s="25"/>
      <c r="C44" s="7">
        <v>3</v>
      </c>
      <c r="D44" s="13">
        <f t="shared" si="7"/>
        <v>79</v>
      </c>
      <c r="E44" s="14">
        <v>220</v>
      </c>
      <c r="F44" s="14">
        <v>102</v>
      </c>
      <c r="G44" s="14">
        <v>73</v>
      </c>
      <c r="H44" s="14">
        <v>3</v>
      </c>
      <c r="I44" s="14">
        <v>2</v>
      </c>
      <c r="J44" s="14">
        <v>1</v>
      </c>
      <c r="K44" s="15">
        <v>47</v>
      </c>
      <c r="L44" s="15">
        <v>2</v>
      </c>
      <c r="M44" s="15">
        <v>7</v>
      </c>
      <c r="N44" s="15">
        <v>0</v>
      </c>
      <c r="O44" s="14">
        <v>2</v>
      </c>
      <c r="P44" s="14">
        <v>3</v>
      </c>
      <c r="Q44" s="14">
        <v>0</v>
      </c>
      <c r="R44" s="14">
        <v>0</v>
      </c>
      <c r="S44" s="14">
        <v>0</v>
      </c>
      <c r="U44" s="14">
        <f>204+16</f>
        <v>220</v>
      </c>
      <c r="V44" s="14">
        <f>76+26</f>
        <v>102</v>
      </c>
      <c r="W44" s="14">
        <f>42+31</f>
        <v>73</v>
      </c>
    </row>
    <row r="45" spans="1:25" ht="24.95" customHeight="1" x14ac:dyDescent="0.35">
      <c r="A45" s="7"/>
      <c r="B45" s="7"/>
      <c r="C45" s="7">
        <v>4</v>
      </c>
      <c r="D45" s="13">
        <f t="shared" si="7"/>
        <v>102</v>
      </c>
      <c r="E45" s="14">
        <v>197</v>
      </c>
      <c r="F45" s="14">
        <v>135</v>
      </c>
      <c r="G45" s="14">
        <v>98</v>
      </c>
      <c r="H45" s="14">
        <v>1</v>
      </c>
      <c r="I45" s="14">
        <v>2</v>
      </c>
      <c r="J45" s="14">
        <v>1</v>
      </c>
      <c r="K45" s="15">
        <v>43</v>
      </c>
      <c r="L45" s="15">
        <v>2</v>
      </c>
      <c r="M45" s="15">
        <v>12</v>
      </c>
      <c r="N45" s="15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U45" s="14">
        <f>181+16</f>
        <v>197</v>
      </c>
      <c r="V45" s="14">
        <f>109+26</f>
        <v>135</v>
      </c>
      <c r="W45" s="14">
        <f>67+31</f>
        <v>98</v>
      </c>
    </row>
    <row r="46" spans="1:25" ht="24.95" customHeight="1" x14ac:dyDescent="0.35">
      <c r="A46" s="7"/>
      <c r="B46" s="7"/>
      <c r="C46" s="7">
        <v>5</v>
      </c>
      <c r="D46" s="13">
        <f t="shared" si="7"/>
        <v>140</v>
      </c>
      <c r="E46" s="14">
        <v>581</v>
      </c>
      <c r="F46" s="14">
        <v>118</v>
      </c>
      <c r="G46" s="14">
        <v>131</v>
      </c>
      <c r="H46" s="14">
        <v>5</v>
      </c>
      <c r="I46" s="14">
        <v>3</v>
      </c>
      <c r="J46" s="14">
        <v>1</v>
      </c>
      <c r="K46" s="15">
        <v>75</v>
      </c>
      <c r="L46" s="15">
        <v>3</v>
      </c>
      <c r="M46" s="15">
        <v>27</v>
      </c>
      <c r="N46" s="15">
        <v>3</v>
      </c>
      <c r="O46" s="14">
        <v>5</v>
      </c>
      <c r="P46" s="14">
        <v>3</v>
      </c>
      <c r="Q46" s="14">
        <v>4</v>
      </c>
      <c r="R46" s="14">
        <v>5</v>
      </c>
      <c r="S46" s="14">
        <v>0</v>
      </c>
      <c r="U46" s="14">
        <f>564+17</f>
        <v>581</v>
      </c>
      <c r="V46" s="14">
        <f>92+26</f>
        <v>118</v>
      </c>
      <c r="W46" s="14">
        <f>100+31</f>
        <v>131</v>
      </c>
    </row>
    <row r="47" spans="1:25" ht="24.95" customHeight="1" x14ac:dyDescent="0.35">
      <c r="A47" s="7"/>
      <c r="B47" s="7"/>
      <c r="C47" s="7">
        <v>6</v>
      </c>
      <c r="D47" s="13">
        <f t="shared" si="7"/>
        <v>196</v>
      </c>
      <c r="E47" s="14">
        <v>470</v>
      </c>
      <c r="F47" s="14">
        <v>154</v>
      </c>
      <c r="G47" s="14">
        <v>179</v>
      </c>
      <c r="H47" s="14">
        <v>12</v>
      </c>
      <c r="I47" s="14">
        <v>3</v>
      </c>
      <c r="J47" s="14">
        <v>2</v>
      </c>
      <c r="K47" s="15">
        <v>108</v>
      </c>
      <c r="L47" s="15">
        <v>5</v>
      </c>
      <c r="M47" s="15">
        <v>56</v>
      </c>
      <c r="N47" s="15">
        <v>5</v>
      </c>
      <c r="O47" s="14">
        <v>7</v>
      </c>
      <c r="P47" s="14">
        <v>5</v>
      </c>
      <c r="Q47" s="14">
        <v>4</v>
      </c>
      <c r="R47" s="14">
        <v>0</v>
      </c>
      <c r="S47" s="14">
        <v>0</v>
      </c>
      <c r="U47" s="14">
        <f>453+17</f>
        <v>470</v>
      </c>
      <c r="V47" s="14">
        <f>128+26</f>
        <v>154</v>
      </c>
      <c r="W47" s="14">
        <f>148+31</f>
        <v>179</v>
      </c>
    </row>
    <row r="48" spans="1:25" ht="24.95" customHeight="1" x14ac:dyDescent="0.35">
      <c r="A48" s="7"/>
      <c r="B48" s="7"/>
      <c r="C48" s="7">
        <v>7</v>
      </c>
      <c r="D48" s="13">
        <f t="shared" si="7"/>
        <v>76</v>
      </c>
      <c r="E48" s="14">
        <v>489</v>
      </c>
      <c r="F48" s="14">
        <v>101</v>
      </c>
      <c r="G48" s="14">
        <v>70</v>
      </c>
      <c r="H48" s="14">
        <v>5</v>
      </c>
      <c r="I48" s="14">
        <v>1</v>
      </c>
      <c r="J48" s="14">
        <v>0</v>
      </c>
      <c r="K48" s="15">
        <v>39</v>
      </c>
      <c r="L48" s="15">
        <v>3</v>
      </c>
      <c r="M48" s="15">
        <v>9</v>
      </c>
      <c r="N48" s="15">
        <v>0</v>
      </c>
      <c r="O48" s="14">
        <v>4</v>
      </c>
      <c r="P48" s="14">
        <v>1</v>
      </c>
      <c r="Q48" s="14">
        <v>2</v>
      </c>
      <c r="R48" s="14">
        <v>0</v>
      </c>
      <c r="S48" s="14">
        <v>0</v>
      </c>
      <c r="U48" s="14">
        <f>472+17</f>
        <v>489</v>
      </c>
      <c r="V48" s="14">
        <f>75+26</f>
        <v>101</v>
      </c>
      <c r="W48" s="14">
        <f>39+31</f>
        <v>70</v>
      </c>
    </row>
    <row r="49" spans="1:23" ht="24.95" customHeight="1" x14ac:dyDescent="0.35">
      <c r="A49" s="16"/>
      <c r="B49" s="7"/>
      <c r="C49" s="7">
        <v>8</v>
      </c>
      <c r="D49" s="13">
        <f t="shared" si="7"/>
        <v>153</v>
      </c>
      <c r="E49" s="14">
        <v>369</v>
      </c>
      <c r="F49" s="14">
        <v>68</v>
      </c>
      <c r="G49" s="14">
        <v>128</v>
      </c>
      <c r="H49" s="14">
        <v>9</v>
      </c>
      <c r="I49" s="14">
        <v>15</v>
      </c>
      <c r="J49" s="14">
        <v>1</v>
      </c>
      <c r="K49" s="15">
        <v>103</v>
      </c>
      <c r="L49" s="15">
        <v>4</v>
      </c>
      <c r="M49" s="15">
        <v>25</v>
      </c>
      <c r="N49" s="15">
        <v>0</v>
      </c>
      <c r="O49" s="14">
        <v>9</v>
      </c>
      <c r="P49" s="14">
        <v>3</v>
      </c>
      <c r="Q49" s="14">
        <v>3</v>
      </c>
      <c r="R49" s="14">
        <v>5</v>
      </c>
      <c r="S49" s="14">
        <v>0</v>
      </c>
      <c r="U49" s="14">
        <f>352+17</f>
        <v>369</v>
      </c>
      <c r="V49" s="14">
        <f>42+26</f>
        <v>68</v>
      </c>
      <c r="W49" s="14">
        <f>97+31</f>
        <v>128</v>
      </c>
    </row>
    <row r="50" spans="1:23" ht="24.95" customHeight="1" x14ac:dyDescent="0.35">
      <c r="A50" s="16"/>
      <c r="B50" s="7"/>
      <c r="C50" s="7">
        <v>9</v>
      </c>
      <c r="D50" s="13">
        <f t="shared" si="7"/>
        <v>236</v>
      </c>
      <c r="E50" s="14">
        <v>381</v>
      </c>
      <c r="F50" s="14">
        <v>127</v>
      </c>
      <c r="G50" s="14">
        <v>204</v>
      </c>
      <c r="H50" s="14">
        <v>13</v>
      </c>
      <c r="I50" s="14">
        <v>16</v>
      </c>
      <c r="J50" s="14">
        <v>3</v>
      </c>
      <c r="K50" s="15">
        <v>120</v>
      </c>
      <c r="L50" s="15">
        <v>3</v>
      </c>
      <c r="M50" s="15">
        <v>38</v>
      </c>
      <c r="N50" s="15">
        <v>4</v>
      </c>
      <c r="O50" s="14">
        <v>34</v>
      </c>
      <c r="P50" s="14">
        <v>9</v>
      </c>
      <c r="Q50" s="14">
        <v>9</v>
      </c>
      <c r="R50" s="14">
        <v>5</v>
      </c>
      <c r="S50" s="14">
        <v>0</v>
      </c>
      <c r="U50" s="14">
        <f>364+17</f>
        <v>381</v>
      </c>
      <c r="V50" s="14">
        <f>101+26</f>
        <v>127</v>
      </c>
      <c r="W50" s="14">
        <f>172+32</f>
        <v>204</v>
      </c>
    </row>
    <row r="51" spans="1:23" ht="16.5" customHeight="1" x14ac:dyDescent="0.35">
      <c r="A51" s="19"/>
      <c r="B51" s="19"/>
      <c r="C51" s="19" t="s">
        <v>33</v>
      </c>
      <c r="D51" s="19">
        <f t="shared" ref="D51:J51" si="10">SUM(D42:D50)</f>
        <v>1086</v>
      </c>
      <c r="E51" s="19">
        <f t="shared" si="10"/>
        <v>2961</v>
      </c>
      <c r="F51" s="19">
        <f t="shared" si="10"/>
        <v>933</v>
      </c>
      <c r="G51" s="22">
        <f>SUM(G42:G50)</f>
        <v>984</v>
      </c>
      <c r="H51" s="22">
        <f>SUM(H42:H50)</f>
        <v>51</v>
      </c>
      <c r="I51" s="19">
        <f t="shared" si="10"/>
        <v>42</v>
      </c>
      <c r="J51" s="19">
        <f t="shared" si="10"/>
        <v>9</v>
      </c>
      <c r="K51" s="19">
        <f>SUM(K42:K50)</f>
        <v>581</v>
      </c>
      <c r="L51" s="19">
        <f>SUM(L42:L50)</f>
        <v>23</v>
      </c>
      <c r="M51" s="19">
        <f>SUM(M42:M50)</f>
        <v>187</v>
      </c>
      <c r="N51" s="19">
        <f>SUM(N42:N50)</f>
        <v>12</v>
      </c>
      <c r="O51" s="19">
        <f t="shared" ref="O51:R51" si="11">SUM(O42:O50)</f>
        <v>61</v>
      </c>
      <c r="P51" s="19">
        <f t="shared" si="11"/>
        <v>24</v>
      </c>
      <c r="Q51" s="19">
        <f t="shared" si="11"/>
        <v>22</v>
      </c>
      <c r="R51" s="19">
        <f t="shared" si="11"/>
        <v>15</v>
      </c>
      <c r="S51" s="19">
        <f>SUM(S42:S50)</f>
        <v>0</v>
      </c>
      <c r="U51" s="23">
        <f>SUM(U42:U50)</f>
        <v>2961</v>
      </c>
      <c r="V51" s="23">
        <f>SUM(V42:V50)</f>
        <v>933</v>
      </c>
      <c r="W51" s="23">
        <f>SUM(W42:W50)</f>
        <v>984</v>
      </c>
    </row>
    <row r="52" spans="1:23" ht="24.95" customHeight="1" x14ac:dyDescent="0.35">
      <c r="A52" s="24">
        <v>5</v>
      </c>
      <c r="B52" s="24" t="s">
        <v>37</v>
      </c>
      <c r="C52" s="24">
        <v>1</v>
      </c>
      <c r="D52" s="13">
        <f t="shared" si="7"/>
        <v>31</v>
      </c>
      <c r="E52" s="9">
        <v>143</v>
      </c>
      <c r="F52" s="9">
        <v>110</v>
      </c>
      <c r="G52" s="9">
        <v>28</v>
      </c>
      <c r="H52" s="9">
        <v>2</v>
      </c>
      <c r="I52" s="9">
        <v>1</v>
      </c>
      <c r="J52" s="9">
        <v>0</v>
      </c>
      <c r="K52" s="10">
        <v>23</v>
      </c>
      <c r="L52" s="10">
        <v>0</v>
      </c>
      <c r="M52" s="10">
        <v>9</v>
      </c>
      <c r="N52" s="10">
        <v>0</v>
      </c>
      <c r="O52" s="9">
        <v>2</v>
      </c>
      <c r="P52" s="9">
        <v>2</v>
      </c>
      <c r="Q52" s="9">
        <v>0</v>
      </c>
      <c r="R52" s="9">
        <v>1</v>
      </c>
      <c r="S52" s="9">
        <v>0</v>
      </c>
      <c r="U52" s="9">
        <f>122+19</f>
        <v>141</v>
      </c>
      <c r="V52" s="9">
        <f>104+5</f>
        <v>109</v>
      </c>
      <c r="W52" s="9">
        <f>24+4</f>
        <v>28</v>
      </c>
    </row>
    <row r="53" spans="1:23" ht="24.95" customHeight="1" x14ac:dyDescent="0.35">
      <c r="A53" s="7"/>
      <c r="B53" s="7"/>
      <c r="C53" s="7">
        <v>2</v>
      </c>
      <c r="D53" s="13">
        <f t="shared" si="7"/>
        <v>38</v>
      </c>
      <c r="E53" s="14">
        <v>348</v>
      </c>
      <c r="F53" s="14">
        <v>66</v>
      </c>
      <c r="G53" s="14">
        <v>22</v>
      </c>
      <c r="H53" s="14">
        <v>9</v>
      </c>
      <c r="I53" s="14">
        <v>7</v>
      </c>
      <c r="J53" s="14">
        <v>0</v>
      </c>
      <c r="K53" s="15">
        <v>26</v>
      </c>
      <c r="L53" s="15">
        <v>1</v>
      </c>
      <c r="M53" s="15">
        <v>8</v>
      </c>
      <c r="N53" s="15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U53" s="14">
        <f>327+19</f>
        <v>346</v>
      </c>
      <c r="V53" s="14">
        <f>60+5</f>
        <v>65</v>
      </c>
      <c r="W53" s="14">
        <f>17+5</f>
        <v>22</v>
      </c>
    </row>
    <row r="54" spans="1:23" ht="24.95" customHeight="1" x14ac:dyDescent="0.35">
      <c r="A54" s="7"/>
      <c r="B54" s="25"/>
      <c r="C54" s="7">
        <v>3</v>
      </c>
      <c r="D54" s="13">
        <f t="shared" si="7"/>
        <v>42</v>
      </c>
      <c r="E54" s="14">
        <v>115</v>
      </c>
      <c r="F54" s="14">
        <v>92</v>
      </c>
      <c r="G54" s="14">
        <v>33</v>
      </c>
      <c r="H54" s="14">
        <v>6</v>
      </c>
      <c r="I54" s="14">
        <v>3</v>
      </c>
      <c r="J54" s="14">
        <v>0</v>
      </c>
      <c r="K54" s="15">
        <v>29</v>
      </c>
      <c r="L54" s="15">
        <v>2</v>
      </c>
      <c r="M54" s="15">
        <v>12</v>
      </c>
      <c r="N54" s="15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U54" s="14">
        <f>94+19</f>
        <v>113</v>
      </c>
      <c r="V54" s="14">
        <f>85+5</f>
        <v>90</v>
      </c>
      <c r="W54" s="14">
        <f>28+5</f>
        <v>33</v>
      </c>
    </row>
    <row r="55" spans="1:23" ht="24.95" customHeight="1" x14ac:dyDescent="0.35">
      <c r="A55" s="7"/>
      <c r="B55" s="7"/>
      <c r="C55" s="7">
        <v>4</v>
      </c>
      <c r="D55" s="13">
        <f t="shared" si="7"/>
        <v>43</v>
      </c>
      <c r="E55" s="14">
        <v>389</v>
      </c>
      <c r="F55" s="14">
        <v>160</v>
      </c>
      <c r="G55" s="14">
        <v>30</v>
      </c>
      <c r="H55" s="14">
        <v>5</v>
      </c>
      <c r="I55" s="14">
        <v>7</v>
      </c>
      <c r="J55" s="14">
        <v>1</v>
      </c>
      <c r="K55" s="15">
        <v>26</v>
      </c>
      <c r="L55" s="15">
        <v>2</v>
      </c>
      <c r="M55" s="15">
        <v>12</v>
      </c>
      <c r="N55" s="15">
        <v>0</v>
      </c>
      <c r="O55" s="14">
        <v>3</v>
      </c>
      <c r="P55" s="14">
        <v>3</v>
      </c>
      <c r="Q55" s="14">
        <v>1</v>
      </c>
      <c r="R55" s="14">
        <v>0</v>
      </c>
      <c r="S55" s="14">
        <v>0</v>
      </c>
      <c r="U55" s="14">
        <f>368+19</f>
        <v>387</v>
      </c>
      <c r="V55" s="14">
        <f>153+5</f>
        <v>158</v>
      </c>
      <c r="W55" s="14">
        <f>25+5</f>
        <v>30</v>
      </c>
    </row>
    <row r="56" spans="1:23" ht="24.95" customHeight="1" x14ac:dyDescent="0.35">
      <c r="A56" s="7"/>
      <c r="B56" s="7"/>
      <c r="C56" s="7">
        <v>5</v>
      </c>
      <c r="D56" s="13">
        <f t="shared" si="7"/>
        <v>78</v>
      </c>
      <c r="E56" s="14">
        <v>666</v>
      </c>
      <c r="F56" s="14">
        <v>241</v>
      </c>
      <c r="G56" s="14">
        <v>53</v>
      </c>
      <c r="H56" s="14">
        <v>15</v>
      </c>
      <c r="I56" s="14">
        <v>10</v>
      </c>
      <c r="J56" s="14">
        <v>0</v>
      </c>
      <c r="K56" s="15">
        <v>51</v>
      </c>
      <c r="L56" s="15">
        <v>3</v>
      </c>
      <c r="M56" s="15">
        <v>12</v>
      </c>
      <c r="N56" s="15">
        <v>1</v>
      </c>
      <c r="O56" s="14">
        <v>3</v>
      </c>
      <c r="P56" s="14">
        <v>2</v>
      </c>
      <c r="Q56" s="14">
        <v>2</v>
      </c>
      <c r="R56" s="14">
        <v>0</v>
      </c>
      <c r="S56" s="14">
        <v>0</v>
      </c>
      <c r="U56" s="14">
        <f>645+19</f>
        <v>664</v>
      </c>
      <c r="V56" s="14">
        <f>234+5</f>
        <v>239</v>
      </c>
      <c r="W56" s="14">
        <f>48+5</f>
        <v>53</v>
      </c>
    </row>
    <row r="57" spans="1:23" ht="24.95" customHeight="1" x14ac:dyDescent="0.35">
      <c r="A57" s="7"/>
      <c r="B57" s="7"/>
      <c r="C57" s="7">
        <v>6</v>
      </c>
      <c r="D57" s="13">
        <f t="shared" si="7"/>
        <v>128</v>
      </c>
      <c r="E57" s="14">
        <v>549</v>
      </c>
      <c r="F57" s="14">
        <v>301</v>
      </c>
      <c r="G57" s="14">
        <v>99</v>
      </c>
      <c r="H57" s="14">
        <v>21</v>
      </c>
      <c r="I57" s="14">
        <v>8</v>
      </c>
      <c r="J57" s="14">
        <v>0</v>
      </c>
      <c r="K57" s="15">
        <v>101</v>
      </c>
      <c r="L57" s="15">
        <v>3</v>
      </c>
      <c r="M57" s="15">
        <v>26</v>
      </c>
      <c r="N57" s="15">
        <v>3</v>
      </c>
      <c r="O57" s="14">
        <v>9</v>
      </c>
      <c r="P57" s="14">
        <v>1</v>
      </c>
      <c r="Q57" s="14">
        <v>3</v>
      </c>
      <c r="R57" s="14">
        <v>0</v>
      </c>
      <c r="S57" s="14">
        <v>0</v>
      </c>
      <c r="U57" s="14">
        <f>527+19</f>
        <v>546</v>
      </c>
      <c r="V57" s="14">
        <f>294+5</f>
        <v>299</v>
      </c>
      <c r="W57" s="14">
        <f>94+5</f>
        <v>99</v>
      </c>
    </row>
    <row r="58" spans="1:23" ht="24.95" customHeight="1" x14ac:dyDescent="0.35">
      <c r="A58" s="7"/>
      <c r="B58" s="7"/>
      <c r="C58" s="7">
        <v>7</v>
      </c>
      <c r="D58" s="13">
        <f t="shared" si="7"/>
        <v>39</v>
      </c>
      <c r="E58" s="14">
        <v>207</v>
      </c>
      <c r="F58" s="14">
        <v>42</v>
      </c>
      <c r="G58" s="14">
        <v>28</v>
      </c>
      <c r="H58" s="14">
        <v>11</v>
      </c>
      <c r="I58" s="14">
        <v>0</v>
      </c>
      <c r="J58" s="14">
        <v>0</v>
      </c>
      <c r="K58" s="15">
        <v>32</v>
      </c>
      <c r="L58" s="15">
        <v>2</v>
      </c>
      <c r="M58" s="15">
        <v>8</v>
      </c>
      <c r="N58" s="15">
        <v>0</v>
      </c>
      <c r="O58" s="14">
        <v>4</v>
      </c>
      <c r="P58" s="14">
        <v>4</v>
      </c>
      <c r="Q58" s="14">
        <v>1</v>
      </c>
      <c r="R58" s="14">
        <v>0</v>
      </c>
      <c r="S58" s="14">
        <v>0</v>
      </c>
      <c r="U58" s="14">
        <f>185+19</f>
        <v>204</v>
      </c>
      <c r="V58" s="14">
        <f>35+5</f>
        <v>40</v>
      </c>
      <c r="W58" s="14">
        <f>23+5</f>
        <v>28</v>
      </c>
    </row>
    <row r="59" spans="1:23" ht="24.95" customHeight="1" x14ac:dyDescent="0.35">
      <c r="A59" s="16"/>
      <c r="B59" s="7"/>
      <c r="C59" s="7">
        <v>8</v>
      </c>
      <c r="D59" s="13">
        <f t="shared" si="7"/>
        <v>66</v>
      </c>
      <c r="E59" s="14">
        <v>195</v>
      </c>
      <c r="F59" s="14">
        <v>85</v>
      </c>
      <c r="G59" s="14">
        <v>47</v>
      </c>
      <c r="H59" s="14">
        <v>10</v>
      </c>
      <c r="I59" s="14">
        <v>9</v>
      </c>
      <c r="J59" s="14">
        <v>0</v>
      </c>
      <c r="K59" s="15">
        <v>49</v>
      </c>
      <c r="L59" s="15">
        <v>2</v>
      </c>
      <c r="M59" s="15">
        <v>13</v>
      </c>
      <c r="N59" s="15">
        <v>1</v>
      </c>
      <c r="O59" s="14">
        <v>4</v>
      </c>
      <c r="P59" s="14">
        <v>4</v>
      </c>
      <c r="Q59" s="14">
        <v>1</v>
      </c>
      <c r="R59" s="14">
        <v>0</v>
      </c>
      <c r="S59" s="14">
        <v>0</v>
      </c>
      <c r="U59" s="14">
        <f>173+19</f>
        <v>192</v>
      </c>
      <c r="V59" s="14">
        <f>78+5</f>
        <v>83</v>
      </c>
      <c r="W59" s="14">
        <f>42+5</f>
        <v>47</v>
      </c>
    </row>
    <row r="60" spans="1:23" ht="24.95" customHeight="1" x14ac:dyDescent="0.35">
      <c r="A60" s="16"/>
      <c r="B60" s="7"/>
      <c r="C60" s="7">
        <v>9</v>
      </c>
      <c r="D60" s="13">
        <f t="shared" si="7"/>
        <v>169</v>
      </c>
      <c r="E60" s="14">
        <v>821</v>
      </c>
      <c r="F60" s="14">
        <v>212</v>
      </c>
      <c r="G60" s="14">
        <v>95</v>
      </c>
      <c r="H60" s="14">
        <v>41</v>
      </c>
      <c r="I60" s="14">
        <v>30</v>
      </c>
      <c r="J60" s="14">
        <v>3</v>
      </c>
      <c r="K60" s="15">
        <v>87</v>
      </c>
      <c r="L60" s="15">
        <v>2</v>
      </c>
      <c r="M60" s="15">
        <v>37</v>
      </c>
      <c r="N60" s="15">
        <v>4</v>
      </c>
      <c r="O60" s="14">
        <v>15</v>
      </c>
      <c r="P60" s="14">
        <v>10</v>
      </c>
      <c r="Q60" s="14">
        <v>12</v>
      </c>
      <c r="R60" s="14">
        <v>5</v>
      </c>
      <c r="S60" s="14">
        <v>0</v>
      </c>
      <c r="U60" s="14">
        <f>799+19</f>
        <v>818</v>
      </c>
      <c r="V60" s="14">
        <f>205+5</f>
        <v>210</v>
      </c>
      <c r="W60" s="14">
        <f>90+5</f>
        <v>95</v>
      </c>
    </row>
    <row r="61" spans="1:23" ht="20.25" customHeight="1" x14ac:dyDescent="0.35">
      <c r="A61" s="19"/>
      <c r="B61" s="19"/>
      <c r="C61" s="19" t="s">
        <v>33</v>
      </c>
      <c r="D61" s="19">
        <f t="shared" ref="D61:J61" si="12">SUM(D52:D60)</f>
        <v>634</v>
      </c>
      <c r="E61" s="19">
        <f t="shared" si="12"/>
        <v>3433</v>
      </c>
      <c r="F61" s="19">
        <f t="shared" si="12"/>
        <v>1309</v>
      </c>
      <c r="G61" s="19">
        <f t="shared" si="12"/>
        <v>435</v>
      </c>
      <c r="H61" s="19">
        <f t="shared" si="12"/>
        <v>120</v>
      </c>
      <c r="I61" s="19">
        <f t="shared" si="12"/>
        <v>75</v>
      </c>
      <c r="J61" s="19">
        <f t="shared" si="12"/>
        <v>4</v>
      </c>
      <c r="K61" s="19">
        <f>SUM(K52:K60)</f>
        <v>424</v>
      </c>
      <c r="L61" s="19">
        <f>SUM(L52:L60)</f>
        <v>17</v>
      </c>
      <c r="M61" s="19">
        <f>SUM(M52:M60)</f>
        <v>137</v>
      </c>
      <c r="N61" s="19">
        <f>SUM(N52:N60)</f>
        <v>9</v>
      </c>
      <c r="O61" s="19">
        <f t="shared" ref="O61:R61" si="13">SUM(O52:O60)</f>
        <v>40</v>
      </c>
      <c r="P61" s="19">
        <f t="shared" si="13"/>
        <v>26</v>
      </c>
      <c r="Q61" s="19">
        <f t="shared" si="13"/>
        <v>20</v>
      </c>
      <c r="R61" s="19">
        <f t="shared" si="13"/>
        <v>6</v>
      </c>
      <c r="S61" s="19">
        <f>SUM(S52:S60)</f>
        <v>0</v>
      </c>
      <c r="U61" s="23">
        <f>SUM(U52:U60)</f>
        <v>3411</v>
      </c>
      <c r="V61" s="23">
        <f>SUM(V52:V60)</f>
        <v>1293</v>
      </c>
      <c r="W61" s="23">
        <f>SUM(W52:W60)</f>
        <v>435</v>
      </c>
    </row>
    <row r="62" spans="1:23" ht="24.95" customHeight="1" x14ac:dyDescent="0.35">
      <c r="A62" s="26">
        <v>6</v>
      </c>
      <c r="B62" s="26" t="s">
        <v>38</v>
      </c>
      <c r="C62" s="26">
        <v>1</v>
      </c>
      <c r="D62" s="13">
        <f t="shared" si="7"/>
        <v>56</v>
      </c>
      <c r="E62" s="27">
        <v>179</v>
      </c>
      <c r="F62" s="27">
        <v>32</v>
      </c>
      <c r="G62" s="27">
        <v>55</v>
      </c>
      <c r="H62" s="27">
        <v>1</v>
      </c>
      <c r="I62" s="27">
        <v>0</v>
      </c>
      <c r="J62" s="27">
        <v>0</v>
      </c>
      <c r="K62" s="27">
        <v>35</v>
      </c>
      <c r="L62" s="27">
        <v>0</v>
      </c>
      <c r="M62" s="27">
        <v>1</v>
      </c>
      <c r="N62" s="27">
        <v>0</v>
      </c>
      <c r="O62" s="27">
        <v>4</v>
      </c>
      <c r="P62" s="27">
        <v>1</v>
      </c>
      <c r="Q62" s="27">
        <v>0</v>
      </c>
      <c r="R62" s="27">
        <v>1</v>
      </c>
      <c r="S62" s="27">
        <v>0</v>
      </c>
      <c r="U62" s="27">
        <f>172+5</f>
        <v>177</v>
      </c>
      <c r="V62" s="27">
        <f>30+2</f>
        <v>32</v>
      </c>
      <c r="W62" s="27">
        <f>33+22</f>
        <v>55</v>
      </c>
    </row>
    <row r="63" spans="1:23" ht="24.95" customHeight="1" x14ac:dyDescent="0.35">
      <c r="A63" s="26"/>
      <c r="B63" s="26"/>
      <c r="C63" s="26">
        <v>2</v>
      </c>
      <c r="D63" s="13">
        <f t="shared" si="7"/>
        <v>55</v>
      </c>
      <c r="E63" s="28">
        <v>155</v>
      </c>
      <c r="F63" s="28">
        <v>35</v>
      </c>
      <c r="G63" s="28">
        <v>48</v>
      </c>
      <c r="H63" s="28">
        <v>7</v>
      </c>
      <c r="I63" s="28">
        <v>0</v>
      </c>
      <c r="J63" s="28">
        <v>0</v>
      </c>
      <c r="K63" s="28">
        <v>21</v>
      </c>
      <c r="L63" s="28">
        <v>1</v>
      </c>
      <c r="M63" s="28">
        <v>7</v>
      </c>
      <c r="N63" s="28">
        <v>0</v>
      </c>
      <c r="O63" s="28">
        <v>5</v>
      </c>
      <c r="P63" s="28">
        <v>0</v>
      </c>
      <c r="Q63" s="28">
        <v>3</v>
      </c>
      <c r="R63" s="28">
        <v>0</v>
      </c>
      <c r="S63" s="28">
        <v>0</v>
      </c>
      <c r="U63" s="28">
        <f>148+5</f>
        <v>153</v>
      </c>
      <c r="V63" s="28">
        <f>33+2</f>
        <v>35</v>
      </c>
      <c r="W63" s="28">
        <f>26+22</f>
        <v>48</v>
      </c>
    </row>
    <row r="64" spans="1:23" ht="24.95" customHeight="1" x14ac:dyDescent="0.35">
      <c r="A64" s="26"/>
      <c r="B64" s="26"/>
      <c r="C64" s="26">
        <v>3</v>
      </c>
      <c r="D64" s="13">
        <f t="shared" si="7"/>
        <v>65</v>
      </c>
      <c r="E64" s="28">
        <v>130</v>
      </c>
      <c r="F64" s="28">
        <v>34</v>
      </c>
      <c r="G64" s="28">
        <v>61</v>
      </c>
      <c r="H64" s="28">
        <v>4</v>
      </c>
      <c r="I64" s="28">
        <v>0</v>
      </c>
      <c r="J64" s="28">
        <v>0</v>
      </c>
      <c r="K64" s="28">
        <v>30</v>
      </c>
      <c r="L64" s="28">
        <v>3</v>
      </c>
      <c r="M64" s="28">
        <v>6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U64" s="28">
        <f>123+5</f>
        <v>128</v>
      </c>
      <c r="V64" s="28">
        <f>31+3</f>
        <v>34</v>
      </c>
      <c r="W64" s="28">
        <f>39+22</f>
        <v>61</v>
      </c>
    </row>
    <row r="65" spans="1:23" ht="24.95" customHeight="1" x14ac:dyDescent="0.35">
      <c r="A65" s="26"/>
      <c r="B65" s="26"/>
      <c r="C65" s="26">
        <v>4</v>
      </c>
      <c r="D65" s="13">
        <f t="shared" si="7"/>
        <v>99</v>
      </c>
      <c r="E65" s="28">
        <v>380</v>
      </c>
      <c r="F65" s="28">
        <v>69</v>
      </c>
      <c r="G65" s="28">
        <v>76</v>
      </c>
      <c r="H65" s="28">
        <v>15</v>
      </c>
      <c r="I65" s="28">
        <v>8</v>
      </c>
      <c r="J65" s="28">
        <v>0</v>
      </c>
      <c r="K65" s="28">
        <v>64</v>
      </c>
      <c r="L65" s="28">
        <v>0</v>
      </c>
      <c r="M65" s="28">
        <v>15</v>
      </c>
      <c r="N65" s="28">
        <v>1</v>
      </c>
      <c r="O65" s="28">
        <v>8</v>
      </c>
      <c r="P65" s="28">
        <v>0</v>
      </c>
      <c r="Q65" s="28">
        <v>0</v>
      </c>
      <c r="R65" s="28">
        <v>0</v>
      </c>
      <c r="S65" s="28">
        <v>0</v>
      </c>
      <c r="U65" s="28">
        <f>373+5</f>
        <v>378</v>
      </c>
      <c r="V65" s="28">
        <f>66+3</f>
        <v>69</v>
      </c>
      <c r="W65" s="28">
        <f>54+22</f>
        <v>76</v>
      </c>
    </row>
    <row r="66" spans="1:23" ht="24.95" customHeight="1" x14ac:dyDescent="0.35">
      <c r="A66" s="26"/>
      <c r="B66" s="26"/>
      <c r="C66" s="26">
        <v>5</v>
      </c>
      <c r="D66" s="13">
        <f t="shared" si="7"/>
        <v>164</v>
      </c>
      <c r="E66" s="28">
        <v>566</v>
      </c>
      <c r="F66" s="28">
        <v>122</v>
      </c>
      <c r="G66" s="28">
        <v>147</v>
      </c>
      <c r="H66" s="28">
        <v>9</v>
      </c>
      <c r="I66" s="28">
        <v>7</v>
      </c>
      <c r="J66" s="28">
        <v>1</v>
      </c>
      <c r="K66" s="28">
        <v>67</v>
      </c>
      <c r="L66" s="28">
        <v>8</v>
      </c>
      <c r="M66" s="28">
        <v>25</v>
      </c>
      <c r="N66" s="28">
        <v>4</v>
      </c>
      <c r="O66" s="28">
        <v>6</v>
      </c>
      <c r="P66" s="28">
        <v>6</v>
      </c>
      <c r="Q66" s="28">
        <v>4</v>
      </c>
      <c r="R66" s="28">
        <v>0</v>
      </c>
      <c r="S66" s="28">
        <v>0</v>
      </c>
      <c r="U66" s="28">
        <f>559+5</f>
        <v>564</v>
      </c>
      <c r="V66" s="28">
        <f>119+3</f>
        <v>122</v>
      </c>
      <c r="W66" s="28">
        <f>125+22</f>
        <v>147</v>
      </c>
    </row>
    <row r="67" spans="1:23" ht="24.95" customHeight="1" x14ac:dyDescent="0.35">
      <c r="A67" s="26"/>
      <c r="B67" s="26"/>
      <c r="C67" s="26">
        <v>6</v>
      </c>
      <c r="D67" s="13">
        <f t="shared" si="7"/>
        <v>186</v>
      </c>
      <c r="E67" s="28">
        <v>530</v>
      </c>
      <c r="F67" s="28">
        <v>248</v>
      </c>
      <c r="G67" s="28">
        <v>155</v>
      </c>
      <c r="H67" s="28">
        <v>25</v>
      </c>
      <c r="I67" s="28">
        <v>3</v>
      </c>
      <c r="J67" s="28">
        <v>3</v>
      </c>
      <c r="K67" s="28">
        <v>145</v>
      </c>
      <c r="L67" s="28">
        <v>6</v>
      </c>
      <c r="M67" s="28">
        <v>43</v>
      </c>
      <c r="N67" s="28">
        <v>3</v>
      </c>
      <c r="O67" s="28">
        <v>11</v>
      </c>
      <c r="P67" s="28">
        <v>2</v>
      </c>
      <c r="Q67" s="28">
        <v>1</v>
      </c>
      <c r="R67" s="28">
        <v>15</v>
      </c>
      <c r="S67" s="28">
        <v>0</v>
      </c>
      <c r="U67" s="28">
        <f>522+6</f>
        <v>528</v>
      </c>
      <c r="V67" s="28">
        <f>245+3</f>
        <v>248</v>
      </c>
      <c r="W67" s="28">
        <f>133+22</f>
        <v>155</v>
      </c>
    </row>
    <row r="68" spans="1:23" ht="24.95" customHeight="1" x14ac:dyDescent="0.35">
      <c r="A68" s="26"/>
      <c r="B68" s="26"/>
      <c r="C68" s="26">
        <v>7</v>
      </c>
      <c r="D68" s="13">
        <f t="shared" si="7"/>
        <v>108</v>
      </c>
      <c r="E68" s="28">
        <v>157</v>
      </c>
      <c r="F68" s="28">
        <v>59</v>
      </c>
      <c r="G68" s="28">
        <v>105</v>
      </c>
      <c r="H68" s="28">
        <v>2</v>
      </c>
      <c r="I68" s="28">
        <v>1</v>
      </c>
      <c r="J68" s="28">
        <v>0</v>
      </c>
      <c r="K68" s="28">
        <v>75</v>
      </c>
      <c r="L68" s="28">
        <v>3</v>
      </c>
      <c r="M68" s="28">
        <v>11</v>
      </c>
      <c r="N68" s="28">
        <v>2</v>
      </c>
      <c r="O68" s="28">
        <v>5</v>
      </c>
      <c r="P68" s="28">
        <v>1</v>
      </c>
      <c r="Q68" s="28">
        <v>1</v>
      </c>
      <c r="R68" s="28">
        <v>0</v>
      </c>
      <c r="S68" s="28">
        <v>0</v>
      </c>
      <c r="U68" s="28">
        <f>149+6</f>
        <v>155</v>
      </c>
      <c r="V68" s="28">
        <f>56+3</f>
        <v>59</v>
      </c>
      <c r="W68" s="28">
        <f>83+22</f>
        <v>105</v>
      </c>
    </row>
    <row r="69" spans="1:23" ht="24.95" customHeight="1" x14ac:dyDescent="0.35">
      <c r="A69" s="26"/>
      <c r="B69" s="26"/>
      <c r="C69" s="26">
        <v>8</v>
      </c>
      <c r="D69" s="13">
        <f t="shared" si="7"/>
        <v>111</v>
      </c>
      <c r="E69" s="28">
        <v>196</v>
      </c>
      <c r="F69" s="28">
        <v>27</v>
      </c>
      <c r="G69" s="28">
        <v>90</v>
      </c>
      <c r="H69" s="28">
        <v>3</v>
      </c>
      <c r="I69" s="28">
        <v>18</v>
      </c>
      <c r="J69" s="28">
        <v>0</v>
      </c>
      <c r="K69" s="28">
        <v>81</v>
      </c>
      <c r="L69" s="28">
        <v>3</v>
      </c>
      <c r="M69" s="28">
        <v>8</v>
      </c>
      <c r="N69" s="28">
        <v>0</v>
      </c>
      <c r="O69" s="28">
        <v>5</v>
      </c>
      <c r="P69" s="28">
        <v>0</v>
      </c>
      <c r="Q69" s="28">
        <v>0</v>
      </c>
      <c r="R69" s="28">
        <v>0</v>
      </c>
      <c r="S69" s="28">
        <v>0</v>
      </c>
      <c r="U69" s="28">
        <f>188+6</f>
        <v>194</v>
      </c>
      <c r="V69" s="28">
        <f>22+3</f>
        <v>25</v>
      </c>
      <c r="W69" s="28">
        <f>68+22</f>
        <v>90</v>
      </c>
    </row>
    <row r="70" spans="1:23" ht="24.95" customHeight="1" x14ac:dyDescent="0.35">
      <c r="A70" s="26"/>
      <c r="B70" s="26"/>
      <c r="C70" s="26">
        <v>9</v>
      </c>
      <c r="D70" s="13">
        <f t="shared" si="7"/>
        <v>192</v>
      </c>
      <c r="E70" s="28">
        <v>473</v>
      </c>
      <c r="F70" s="28">
        <v>87</v>
      </c>
      <c r="G70" s="28">
        <v>172</v>
      </c>
      <c r="H70" s="28">
        <v>7</v>
      </c>
      <c r="I70" s="28">
        <v>13</v>
      </c>
      <c r="J70" s="28">
        <v>0</v>
      </c>
      <c r="K70" s="28">
        <v>87</v>
      </c>
      <c r="L70" s="28">
        <v>0</v>
      </c>
      <c r="M70" s="28">
        <v>39</v>
      </c>
      <c r="N70" s="28">
        <v>3</v>
      </c>
      <c r="O70" s="28">
        <v>2</v>
      </c>
      <c r="P70" s="28">
        <v>3</v>
      </c>
      <c r="Q70" s="28">
        <v>1</v>
      </c>
      <c r="R70" s="28">
        <v>0</v>
      </c>
      <c r="S70" s="28">
        <v>0</v>
      </c>
      <c r="U70" s="28">
        <f>465+6</f>
        <v>471</v>
      </c>
      <c r="V70" s="28">
        <f>84+3</f>
        <v>87</v>
      </c>
      <c r="W70" s="28">
        <f>150+22</f>
        <v>172</v>
      </c>
    </row>
    <row r="71" spans="1:23" ht="16.5" customHeight="1" x14ac:dyDescent="0.35">
      <c r="A71" s="6"/>
      <c r="B71" s="6"/>
      <c r="C71" s="29" t="s">
        <v>33</v>
      </c>
      <c r="D71" s="30">
        <f>SUM(D62:D70)</f>
        <v>1036</v>
      </c>
      <c r="E71" s="30">
        <f t="shared" ref="E71:S71" si="14">SUM(E62:E70)</f>
        <v>2766</v>
      </c>
      <c r="F71" s="30">
        <f t="shared" si="14"/>
        <v>713</v>
      </c>
      <c r="G71" s="30">
        <f t="shared" si="14"/>
        <v>909</v>
      </c>
      <c r="H71" s="30">
        <f t="shared" si="14"/>
        <v>73</v>
      </c>
      <c r="I71" s="30">
        <f t="shared" si="14"/>
        <v>50</v>
      </c>
      <c r="J71" s="30">
        <f t="shared" si="14"/>
        <v>4</v>
      </c>
      <c r="K71" s="30">
        <f t="shared" si="14"/>
        <v>605</v>
      </c>
      <c r="L71" s="30">
        <f>SUM(L62:L70)</f>
        <v>24</v>
      </c>
      <c r="M71" s="30">
        <f t="shared" si="14"/>
        <v>155</v>
      </c>
      <c r="N71" s="30">
        <f t="shared" si="14"/>
        <v>13</v>
      </c>
      <c r="O71" s="30">
        <f t="shared" si="14"/>
        <v>46</v>
      </c>
      <c r="P71" s="30">
        <f t="shared" si="14"/>
        <v>13</v>
      </c>
      <c r="Q71" s="30">
        <f t="shared" si="14"/>
        <v>10</v>
      </c>
      <c r="R71" s="30">
        <f t="shared" si="14"/>
        <v>16</v>
      </c>
      <c r="S71" s="30">
        <f t="shared" si="14"/>
        <v>0</v>
      </c>
      <c r="U71" s="23">
        <f>SUM(U62:U70)</f>
        <v>2748</v>
      </c>
      <c r="V71" s="23">
        <f>SUM(V62:V70)</f>
        <v>711</v>
      </c>
      <c r="W71" s="23">
        <f>SUM(W62:W70)</f>
        <v>909</v>
      </c>
    </row>
    <row r="72" spans="1:23" ht="24.95" customHeight="1" x14ac:dyDescent="0.35">
      <c r="A72" s="31">
        <v>7</v>
      </c>
      <c r="B72" s="31" t="s">
        <v>39</v>
      </c>
      <c r="C72" s="31">
        <v>1</v>
      </c>
      <c r="D72" s="13">
        <f t="shared" si="7"/>
        <v>31</v>
      </c>
      <c r="E72" s="27">
        <v>695</v>
      </c>
      <c r="F72" s="27">
        <v>35</v>
      </c>
      <c r="G72" s="27">
        <v>26</v>
      </c>
      <c r="H72" s="27">
        <v>2</v>
      </c>
      <c r="I72" s="27">
        <v>0</v>
      </c>
      <c r="J72" s="27">
        <v>3</v>
      </c>
      <c r="K72" s="27">
        <v>26</v>
      </c>
      <c r="L72" s="27">
        <v>0</v>
      </c>
      <c r="M72" s="27">
        <v>1</v>
      </c>
      <c r="N72" s="27">
        <v>0</v>
      </c>
      <c r="O72" s="27">
        <v>4</v>
      </c>
      <c r="P72" s="27">
        <v>1</v>
      </c>
      <c r="Q72" s="27">
        <v>0</v>
      </c>
      <c r="R72" s="27">
        <v>0</v>
      </c>
      <c r="S72" s="27">
        <v>0</v>
      </c>
      <c r="U72" s="27">
        <f>632+63</f>
        <v>695</v>
      </c>
      <c r="V72" s="27">
        <v>35</v>
      </c>
      <c r="W72" s="27">
        <f>18+8</f>
        <v>26</v>
      </c>
    </row>
    <row r="73" spans="1:23" ht="24.95" customHeight="1" x14ac:dyDescent="0.35">
      <c r="A73" s="26"/>
      <c r="B73" s="26"/>
      <c r="C73" s="26">
        <v>2</v>
      </c>
      <c r="D73" s="13">
        <f t="shared" si="7"/>
        <v>22</v>
      </c>
      <c r="E73" s="28">
        <v>434</v>
      </c>
      <c r="F73" s="28">
        <v>25</v>
      </c>
      <c r="G73" s="28">
        <v>21</v>
      </c>
      <c r="H73" s="28">
        <v>1</v>
      </c>
      <c r="I73" s="28">
        <v>0</v>
      </c>
      <c r="J73" s="28">
        <v>0</v>
      </c>
      <c r="K73" s="28">
        <v>8</v>
      </c>
      <c r="L73" s="28">
        <v>0</v>
      </c>
      <c r="M73" s="28">
        <v>1</v>
      </c>
      <c r="N73" s="28">
        <v>0</v>
      </c>
      <c r="O73" s="28">
        <v>4</v>
      </c>
      <c r="P73" s="28">
        <v>1</v>
      </c>
      <c r="Q73" s="28">
        <v>0</v>
      </c>
      <c r="R73" s="28">
        <v>0</v>
      </c>
      <c r="S73" s="28">
        <v>0</v>
      </c>
      <c r="U73" s="28">
        <f>370+64</f>
        <v>434</v>
      </c>
      <c r="V73" s="28">
        <v>25</v>
      </c>
      <c r="W73" s="28">
        <f>13+8</f>
        <v>21</v>
      </c>
    </row>
    <row r="74" spans="1:23" ht="24.95" customHeight="1" x14ac:dyDescent="0.35">
      <c r="A74" s="26"/>
      <c r="B74" s="26"/>
      <c r="C74" s="26">
        <v>3</v>
      </c>
      <c r="D74" s="13">
        <f t="shared" si="7"/>
        <v>14</v>
      </c>
      <c r="E74" s="28">
        <v>314</v>
      </c>
      <c r="F74" s="28">
        <v>23</v>
      </c>
      <c r="G74" s="28">
        <v>14</v>
      </c>
      <c r="H74" s="28">
        <v>0</v>
      </c>
      <c r="I74" s="28">
        <v>0</v>
      </c>
      <c r="J74" s="28">
        <v>0</v>
      </c>
      <c r="K74" s="28">
        <v>8</v>
      </c>
      <c r="L74" s="28">
        <v>0</v>
      </c>
      <c r="M74" s="28">
        <v>2</v>
      </c>
      <c r="N74" s="28">
        <v>0</v>
      </c>
      <c r="O74" s="28">
        <v>8</v>
      </c>
      <c r="P74" s="28">
        <v>0</v>
      </c>
      <c r="Q74" s="28">
        <v>0</v>
      </c>
      <c r="R74" s="28">
        <v>0</v>
      </c>
      <c r="S74" s="28">
        <v>0</v>
      </c>
      <c r="U74" s="28">
        <f>250+64</f>
        <v>314</v>
      </c>
      <c r="V74" s="28">
        <v>23</v>
      </c>
      <c r="W74" s="28">
        <f>6+8</f>
        <v>14</v>
      </c>
    </row>
    <row r="75" spans="1:23" ht="24.95" customHeight="1" x14ac:dyDescent="0.35">
      <c r="A75" s="26"/>
      <c r="B75" s="26"/>
      <c r="C75" s="26">
        <v>4</v>
      </c>
      <c r="D75" s="13">
        <f t="shared" si="7"/>
        <v>30</v>
      </c>
      <c r="E75" s="28">
        <v>1144</v>
      </c>
      <c r="F75" s="28">
        <v>81</v>
      </c>
      <c r="G75" s="28">
        <v>24</v>
      </c>
      <c r="H75" s="28">
        <v>3</v>
      </c>
      <c r="I75" s="28">
        <v>3</v>
      </c>
      <c r="J75" s="28">
        <v>0</v>
      </c>
      <c r="K75" s="28">
        <v>19</v>
      </c>
      <c r="L75" s="28">
        <v>2</v>
      </c>
      <c r="M75" s="28">
        <v>3</v>
      </c>
      <c r="N75" s="28">
        <v>0</v>
      </c>
      <c r="O75" s="28">
        <v>9</v>
      </c>
      <c r="P75" s="28">
        <v>2</v>
      </c>
      <c r="Q75" s="28">
        <v>0</v>
      </c>
      <c r="R75" s="28">
        <v>0</v>
      </c>
      <c r="S75" s="28">
        <v>0</v>
      </c>
      <c r="U75" s="28">
        <f>1080+64</f>
        <v>1144</v>
      </c>
      <c r="V75" s="28">
        <v>81</v>
      </c>
      <c r="W75" s="28">
        <f>16+8</f>
        <v>24</v>
      </c>
    </row>
    <row r="76" spans="1:23" ht="24.95" customHeight="1" x14ac:dyDescent="0.35">
      <c r="A76" s="26"/>
      <c r="B76" s="26"/>
      <c r="C76" s="26">
        <v>5</v>
      </c>
      <c r="D76" s="13">
        <f t="shared" si="7"/>
        <v>60</v>
      </c>
      <c r="E76" s="28">
        <v>1205</v>
      </c>
      <c r="F76" s="28">
        <v>107</v>
      </c>
      <c r="G76" s="28">
        <v>54</v>
      </c>
      <c r="H76" s="28">
        <v>2</v>
      </c>
      <c r="I76" s="28">
        <v>2</v>
      </c>
      <c r="J76" s="28">
        <v>2</v>
      </c>
      <c r="K76" s="28">
        <v>37</v>
      </c>
      <c r="L76" s="28">
        <v>2</v>
      </c>
      <c r="M76" s="28">
        <v>11</v>
      </c>
      <c r="N76" s="28">
        <v>2</v>
      </c>
      <c r="O76" s="28">
        <v>12</v>
      </c>
      <c r="P76" s="28">
        <v>5</v>
      </c>
      <c r="Q76" s="28">
        <v>7</v>
      </c>
      <c r="R76" s="28">
        <v>0</v>
      </c>
      <c r="S76" s="28">
        <v>0</v>
      </c>
      <c r="U76" s="28">
        <f>1141+64</f>
        <v>1205</v>
      </c>
      <c r="V76" s="28">
        <v>106</v>
      </c>
      <c r="W76" s="28">
        <f>46+8</f>
        <v>54</v>
      </c>
    </row>
    <row r="77" spans="1:23" ht="24.95" customHeight="1" x14ac:dyDescent="0.35">
      <c r="A77" s="26"/>
      <c r="B77" s="26"/>
      <c r="C77" s="26">
        <v>6</v>
      </c>
      <c r="D77" s="13">
        <f t="shared" si="7"/>
        <v>77</v>
      </c>
      <c r="E77" s="28">
        <v>1199</v>
      </c>
      <c r="F77" s="28">
        <v>102</v>
      </c>
      <c r="G77" s="28">
        <v>60</v>
      </c>
      <c r="H77" s="28">
        <v>7</v>
      </c>
      <c r="I77" s="28">
        <v>9</v>
      </c>
      <c r="J77" s="28">
        <v>1</v>
      </c>
      <c r="K77" s="28">
        <v>38</v>
      </c>
      <c r="L77" s="28">
        <v>2</v>
      </c>
      <c r="M77" s="28">
        <v>25</v>
      </c>
      <c r="N77" s="28">
        <v>2</v>
      </c>
      <c r="O77" s="28">
        <v>12</v>
      </c>
      <c r="P77" s="28">
        <v>6</v>
      </c>
      <c r="Q77" s="28">
        <v>14</v>
      </c>
      <c r="R77" s="28">
        <v>0</v>
      </c>
      <c r="S77" s="28">
        <v>0</v>
      </c>
      <c r="U77" s="28">
        <f>1135+64</f>
        <v>1199</v>
      </c>
      <c r="V77" s="28">
        <v>101</v>
      </c>
      <c r="W77" s="28">
        <f>52+8</f>
        <v>60</v>
      </c>
    </row>
    <row r="78" spans="1:23" ht="24.95" customHeight="1" x14ac:dyDescent="0.35">
      <c r="A78" s="26"/>
      <c r="B78" s="26"/>
      <c r="C78" s="26">
        <v>7</v>
      </c>
      <c r="D78" s="13">
        <f t="shared" si="7"/>
        <v>43</v>
      </c>
      <c r="E78" s="28">
        <v>659</v>
      </c>
      <c r="F78" s="28">
        <v>46</v>
      </c>
      <c r="G78" s="28">
        <v>37</v>
      </c>
      <c r="H78" s="28">
        <v>3</v>
      </c>
      <c r="I78" s="28">
        <v>0</v>
      </c>
      <c r="J78" s="28">
        <v>3</v>
      </c>
      <c r="K78" s="28">
        <v>25</v>
      </c>
      <c r="L78" s="28">
        <v>1</v>
      </c>
      <c r="M78" s="28">
        <v>9</v>
      </c>
      <c r="N78" s="28">
        <v>0</v>
      </c>
      <c r="O78" s="28">
        <v>8</v>
      </c>
      <c r="P78" s="28">
        <v>3</v>
      </c>
      <c r="Q78" s="28">
        <v>0</v>
      </c>
      <c r="R78" s="28">
        <v>0</v>
      </c>
      <c r="S78" s="28">
        <v>0</v>
      </c>
      <c r="U78" s="28">
        <f>595+64</f>
        <v>659</v>
      </c>
      <c r="V78" s="28">
        <v>46</v>
      </c>
      <c r="W78" s="28">
        <f>28+9</f>
        <v>37</v>
      </c>
    </row>
    <row r="79" spans="1:23" ht="24.95" customHeight="1" x14ac:dyDescent="0.35">
      <c r="A79" s="26"/>
      <c r="B79" s="26"/>
      <c r="C79" s="26">
        <v>8</v>
      </c>
      <c r="D79" s="13">
        <f t="shared" si="7"/>
        <v>34</v>
      </c>
      <c r="E79" s="28">
        <v>640</v>
      </c>
      <c r="F79" s="28">
        <v>42</v>
      </c>
      <c r="G79" s="28">
        <v>31</v>
      </c>
      <c r="H79" s="28">
        <v>3</v>
      </c>
      <c r="I79" s="28">
        <v>0</v>
      </c>
      <c r="J79" s="28">
        <v>0</v>
      </c>
      <c r="K79" s="28">
        <v>23</v>
      </c>
      <c r="L79" s="28">
        <v>1</v>
      </c>
      <c r="M79" s="28">
        <v>11</v>
      </c>
      <c r="N79" s="28">
        <v>1</v>
      </c>
      <c r="O79" s="28">
        <v>8</v>
      </c>
      <c r="P79" s="28">
        <v>3</v>
      </c>
      <c r="Q79" s="28">
        <v>5</v>
      </c>
      <c r="R79" s="28">
        <v>0</v>
      </c>
      <c r="S79" s="28">
        <v>0</v>
      </c>
      <c r="U79" s="28">
        <f>576+64</f>
        <v>640</v>
      </c>
      <c r="V79" s="28">
        <v>42</v>
      </c>
      <c r="W79" s="28">
        <f>22+9</f>
        <v>31</v>
      </c>
    </row>
    <row r="80" spans="1:23" ht="24.95" customHeight="1" x14ac:dyDescent="0.35">
      <c r="A80" s="26"/>
      <c r="B80" s="26"/>
      <c r="C80" s="26">
        <v>9</v>
      </c>
      <c r="D80" s="13">
        <f t="shared" si="7"/>
        <v>70</v>
      </c>
      <c r="E80" s="28">
        <v>1212</v>
      </c>
      <c r="F80" s="28">
        <v>136</v>
      </c>
      <c r="G80" s="28">
        <v>59</v>
      </c>
      <c r="H80" s="28">
        <v>3</v>
      </c>
      <c r="I80" s="28">
        <v>5</v>
      </c>
      <c r="J80" s="28">
        <v>3</v>
      </c>
      <c r="K80" s="28">
        <v>36</v>
      </c>
      <c r="L80" s="28">
        <v>1</v>
      </c>
      <c r="M80" s="28">
        <v>8</v>
      </c>
      <c r="N80" s="28">
        <v>0</v>
      </c>
      <c r="O80" s="28">
        <v>8</v>
      </c>
      <c r="P80" s="28">
        <v>5</v>
      </c>
      <c r="Q80" s="28">
        <v>3</v>
      </c>
      <c r="R80" s="28">
        <v>0</v>
      </c>
      <c r="S80" s="28">
        <v>0</v>
      </c>
      <c r="U80" s="28">
        <f>1148+64</f>
        <v>1212</v>
      </c>
      <c r="V80" s="28">
        <v>135</v>
      </c>
      <c r="W80" s="28">
        <f>50+9</f>
        <v>59</v>
      </c>
    </row>
    <row r="81" spans="1:23" ht="19.5" customHeight="1" x14ac:dyDescent="0.35">
      <c r="A81" s="6"/>
      <c r="B81" s="6"/>
      <c r="C81" s="29" t="s">
        <v>33</v>
      </c>
      <c r="D81" s="32">
        <f t="shared" ref="D81:S81" si="15">SUM(D72:D80)</f>
        <v>381</v>
      </c>
      <c r="E81" s="32">
        <f t="shared" si="15"/>
        <v>7502</v>
      </c>
      <c r="F81" s="32">
        <f t="shared" si="15"/>
        <v>597</v>
      </c>
      <c r="G81" s="32">
        <f t="shared" si="15"/>
        <v>326</v>
      </c>
      <c r="H81" s="32">
        <f t="shared" si="15"/>
        <v>24</v>
      </c>
      <c r="I81" s="32">
        <f t="shared" si="15"/>
        <v>19</v>
      </c>
      <c r="J81" s="32">
        <f t="shared" si="15"/>
        <v>12</v>
      </c>
      <c r="K81" s="32">
        <f t="shared" si="15"/>
        <v>220</v>
      </c>
      <c r="L81" s="32">
        <f t="shared" si="15"/>
        <v>9</v>
      </c>
      <c r="M81" s="32">
        <f t="shared" si="15"/>
        <v>71</v>
      </c>
      <c r="N81" s="32">
        <f t="shared" si="15"/>
        <v>5</v>
      </c>
      <c r="O81" s="32">
        <f t="shared" si="15"/>
        <v>73</v>
      </c>
      <c r="P81" s="32">
        <f t="shared" si="15"/>
        <v>26</v>
      </c>
      <c r="Q81" s="32">
        <f t="shared" si="15"/>
        <v>29</v>
      </c>
      <c r="R81" s="32">
        <f t="shared" si="15"/>
        <v>0</v>
      </c>
      <c r="S81" s="32">
        <f t="shared" si="15"/>
        <v>0</v>
      </c>
      <c r="U81" s="23">
        <f>SUM(U72:U80)</f>
        <v>7502</v>
      </c>
      <c r="W81" s="23">
        <f>SUM(W72:W80)</f>
        <v>326</v>
      </c>
    </row>
    <row r="82" spans="1:23" ht="24.95" customHeight="1" x14ac:dyDescent="0.35">
      <c r="A82" s="31">
        <v>8</v>
      </c>
      <c r="B82" s="33" t="s">
        <v>40</v>
      </c>
      <c r="C82" s="31">
        <v>1</v>
      </c>
      <c r="D82" s="13">
        <f t="shared" si="7"/>
        <v>53</v>
      </c>
      <c r="E82" s="34">
        <v>90</v>
      </c>
      <c r="F82" s="34">
        <v>11</v>
      </c>
      <c r="G82" s="34">
        <v>53</v>
      </c>
      <c r="H82" s="34">
        <v>0</v>
      </c>
      <c r="I82" s="34">
        <v>0</v>
      </c>
      <c r="J82" s="34">
        <v>0</v>
      </c>
      <c r="K82" s="34">
        <v>34</v>
      </c>
      <c r="L82" s="34">
        <v>1</v>
      </c>
      <c r="M82" s="34">
        <v>7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W82" s="34">
        <f>38+15</f>
        <v>53</v>
      </c>
    </row>
    <row r="83" spans="1:23" ht="24.95" customHeight="1" x14ac:dyDescent="0.35">
      <c r="A83" s="26"/>
      <c r="B83" s="26"/>
      <c r="C83" s="26">
        <v>2</v>
      </c>
      <c r="D83" s="13">
        <f t="shared" si="7"/>
        <v>39</v>
      </c>
      <c r="E83" s="35">
        <v>43</v>
      </c>
      <c r="F83" s="35">
        <v>9</v>
      </c>
      <c r="G83" s="35">
        <v>39</v>
      </c>
      <c r="H83" s="35">
        <v>0</v>
      </c>
      <c r="I83" s="35">
        <v>0</v>
      </c>
      <c r="J83" s="35">
        <v>0</v>
      </c>
      <c r="K83" s="35">
        <v>22</v>
      </c>
      <c r="L83" s="35">
        <v>0</v>
      </c>
      <c r="M83" s="35">
        <v>7</v>
      </c>
      <c r="N83" s="35">
        <v>0</v>
      </c>
      <c r="O83" s="35">
        <v>2</v>
      </c>
      <c r="P83" s="35">
        <v>0</v>
      </c>
      <c r="Q83" s="35">
        <v>0</v>
      </c>
      <c r="R83" s="35">
        <v>0</v>
      </c>
      <c r="S83" s="35">
        <v>0</v>
      </c>
      <c r="W83" s="35">
        <f>24+15</f>
        <v>39</v>
      </c>
    </row>
    <row r="84" spans="1:23" ht="24.95" customHeight="1" x14ac:dyDescent="0.35">
      <c r="A84" s="26"/>
      <c r="B84" s="26"/>
      <c r="C84" s="26">
        <v>3</v>
      </c>
      <c r="D84" s="13">
        <f t="shared" si="7"/>
        <v>39</v>
      </c>
      <c r="E84" s="35">
        <v>94</v>
      </c>
      <c r="F84" s="35">
        <v>14</v>
      </c>
      <c r="G84" s="35">
        <v>39</v>
      </c>
      <c r="H84" s="35">
        <v>0</v>
      </c>
      <c r="I84" s="35">
        <v>0</v>
      </c>
      <c r="J84" s="35">
        <v>0</v>
      </c>
      <c r="K84" s="35">
        <v>26</v>
      </c>
      <c r="L84" s="35">
        <v>0</v>
      </c>
      <c r="M84" s="35">
        <v>2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W84" s="35">
        <f>24+15</f>
        <v>39</v>
      </c>
    </row>
    <row r="85" spans="1:23" ht="24.95" customHeight="1" x14ac:dyDescent="0.35">
      <c r="A85" s="26"/>
      <c r="B85" s="26"/>
      <c r="C85" s="26">
        <v>4</v>
      </c>
      <c r="D85" s="13">
        <f t="shared" si="7"/>
        <v>33</v>
      </c>
      <c r="E85" s="35">
        <v>254</v>
      </c>
      <c r="F85" s="35">
        <v>15</v>
      </c>
      <c r="G85" s="35">
        <v>33</v>
      </c>
      <c r="H85" s="35">
        <v>0</v>
      </c>
      <c r="I85" s="35">
        <v>0</v>
      </c>
      <c r="J85" s="35">
        <v>0</v>
      </c>
      <c r="K85" s="35">
        <v>19</v>
      </c>
      <c r="L85" s="35">
        <v>1</v>
      </c>
      <c r="M85" s="35">
        <v>6</v>
      </c>
      <c r="N85" s="35">
        <v>0</v>
      </c>
      <c r="O85" s="35">
        <v>3</v>
      </c>
      <c r="P85" s="35">
        <v>0</v>
      </c>
      <c r="Q85" s="35">
        <v>0</v>
      </c>
      <c r="R85" s="35">
        <v>0</v>
      </c>
      <c r="S85" s="35">
        <v>0</v>
      </c>
      <c r="W85" s="35">
        <f>18+15</f>
        <v>33</v>
      </c>
    </row>
    <row r="86" spans="1:23" ht="24.95" customHeight="1" x14ac:dyDescent="0.35">
      <c r="A86" s="26"/>
      <c r="B86" s="26"/>
      <c r="C86" s="26">
        <v>5</v>
      </c>
      <c r="D86" s="13">
        <f t="shared" si="7"/>
        <v>96</v>
      </c>
      <c r="E86" s="35">
        <v>145</v>
      </c>
      <c r="F86" s="35">
        <v>15</v>
      </c>
      <c r="G86" s="35">
        <v>93</v>
      </c>
      <c r="H86" s="35">
        <v>0</v>
      </c>
      <c r="I86" s="35">
        <v>3</v>
      </c>
      <c r="J86" s="35">
        <v>0</v>
      </c>
      <c r="K86" s="35">
        <v>53</v>
      </c>
      <c r="L86" s="35">
        <v>2</v>
      </c>
      <c r="M86" s="35">
        <v>24</v>
      </c>
      <c r="N86" s="35">
        <v>2</v>
      </c>
      <c r="O86" s="35">
        <v>4</v>
      </c>
      <c r="P86" s="35">
        <v>2</v>
      </c>
      <c r="Q86" s="35">
        <v>2</v>
      </c>
      <c r="R86" s="35">
        <v>0</v>
      </c>
      <c r="S86" s="35">
        <v>0</v>
      </c>
      <c r="W86" s="35">
        <f>78+15</f>
        <v>93</v>
      </c>
    </row>
    <row r="87" spans="1:23" ht="24.95" customHeight="1" x14ac:dyDescent="0.35">
      <c r="A87" s="26"/>
      <c r="B87" s="26"/>
      <c r="C87" s="26">
        <v>6</v>
      </c>
      <c r="D87" s="13">
        <f t="shared" si="7"/>
        <v>146</v>
      </c>
      <c r="E87" s="35">
        <v>353</v>
      </c>
      <c r="F87" s="35">
        <v>32</v>
      </c>
      <c r="G87" s="35">
        <v>130</v>
      </c>
      <c r="H87" s="35">
        <v>7</v>
      </c>
      <c r="I87" s="35">
        <v>7</v>
      </c>
      <c r="J87" s="35">
        <v>2</v>
      </c>
      <c r="K87" s="35">
        <v>75</v>
      </c>
      <c r="L87" s="35">
        <v>3</v>
      </c>
      <c r="M87" s="35">
        <v>42</v>
      </c>
      <c r="N87" s="35">
        <v>3</v>
      </c>
      <c r="O87" s="35">
        <v>6</v>
      </c>
      <c r="P87" s="35">
        <v>5</v>
      </c>
      <c r="Q87" s="35">
        <v>5</v>
      </c>
      <c r="R87" s="35">
        <v>0</v>
      </c>
      <c r="S87" s="35">
        <v>0</v>
      </c>
      <c r="W87" s="35">
        <f>115+15</f>
        <v>130</v>
      </c>
    </row>
    <row r="88" spans="1:23" ht="24.95" customHeight="1" x14ac:dyDescent="0.35">
      <c r="A88" s="26"/>
      <c r="B88" s="26"/>
      <c r="C88" s="26">
        <v>7</v>
      </c>
      <c r="D88" s="13">
        <f t="shared" si="7"/>
        <v>39</v>
      </c>
      <c r="E88" s="35">
        <v>83</v>
      </c>
      <c r="F88" s="35">
        <v>26</v>
      </c>
      <c r="G88" s="35">
        <v>37</v>
      </c>
      <c r="H88" s="35">
        <v>2</v>
      </c>
      <c r="I88" s="35">
        <v>0</v>
      </c>
      <c r="J88" s="35">
        <v>0</v>
      </c>
      <c r="K88" s="35">
        <v>21</v>
      </c>
      <c r="L88" s="35">
        <v>3</v>
      </c>
      <c r="M88" s="35">
        <v>5</v>
      </c>
      <c r="N88" s="35">
        <v>0</v>
      </c>
      <c r="O88" s="35">
        <v>4</v>
      </c>
      <c r="P88" s="35">
        <v>1</v>
      </c>
      <c r="Q88" s="35">
        <v>0</v>
      </c>
      <c r="R88" s="35">
        <v>0</v>
      </c>
      <c r="S88" s="35">
        <v>0</v>
      </c>
      <c r="W88" s="35">
        <f>22+15</f>
        <v>37</v>
      </c>
    </row>
    <row r="89" spans="1:23" ht="24.95" customHeight="1" x14ac:dyDescent="0.35">
      <c r="A89" s="26"/>
      <c r="B89" s="26"/>
      <c r="C89" s="26">
        <v>8</v>
      </c>
      <c r="D89" s="13">
        <f t="shared" si="7"/>
        <v>41</v>
      </c>
      <c r="E89" s="35">
        <v>62</v>
      </c>
      <c r="F89" s="35">
        <v>17</v>
      </c>
      <c r="G89" s="35">
        <v>41</v>
      </c>
      <c r="H89" s="35">
        <v>0</v>
      </c>
      <c r="I89" s="35">
        <v>0</v>
      </c>
      <c r="J89" s="35">
        <v>0</v>
      </c>
      <c r="K89" s="35">
        <v>27</v>
      </c>
      <c r="L89" s="35">
        <v>1</v>
      </c>
      <c r="M89" s="35">
        <v>5</v>
      </c>
      <c r="N89" s="35">
        <v>0</v>
      </c>
      <c r="O89" s="35">
        <v>4</v>
      </c>
      <c r="P89" s="35">
        <v>0</v>
      </c>
      <c r="Q89" s="35">
        <v>0</v>
      </c>
      <c r="R89" s="35">
        <v>0</v>
      </c>
      <c r="S89" s="35">
        <v>0</v>
      </c>
      <c r="W89" s="35">
        <f>26+15</f>
        <v>41</v>
      </c>
    </row>
    <row r="90" spans="1:23" ht="24.95" customHeight="1" x14ac:dyDescent="0.35">
      <c r="A90" s="26"/>
      <c r="B90" s="26"/>
      <c r="C90" s="26">
        <v>9</v>
      </c>
      <c r="D90" s="13">
        <f t="shared" si="7"/>
        <v>99</v>
      </c>
      <c r="E90" s="36">
        <v>205</v>
      </c>
      <c r="F90" s="36">
        <v>24</v>
      </c>
      <c r="G90" s="36">
        <v>86</v>
      </c>
      <c r="H90" s="36">
        <v>9</v>
      </c>
      <c r="I90" s="36">
        <v>4</v>
      </c>
      <c r="J90" s="36">
        <v>0</v>
      </c>
      <c r="K90" s="36">
        <v>48</v>
      </c>
      <c r="L90" s="36">
        <v>2</v>
      </c>
      <c r="M90" s="36">
        <v>7</v>
      </c>
      <c r="N90" s="36">
        <v>2</v>
      </c>
      <c r="O90" s="36">
        <v>5</v>
      </c>
      <c r="P90" s="36">
        <v>4</v>
      </c>
      <c r="Q90" s="36">
        <v>3</v>
      </c>
      <c r="R90" s="36">
        <v>0</v>
      </c>
      <c r="S90" s="36">
        <v>0</v>
      </c>
      <c r="W90" s="36">
        <f>70+16</f>
        <v>86</v>
      </c>
    </row>
    <row r="91" spans="1:23" ht="20.25" customHeight="1" x14ac:dyDescent="0.35">
      <c r="A91" s="6"/>
      <c r="B91" s="6"/>
      <c r="C91" s="29" t="s">
        <v>33</v>
      </c>
      <c r="D91" s="32">
        <f t="shared" ref="D91:S91" si="16">SUM(D82:D90)</f>
        <v>585</v>
      </c>
      <c r="E91" s="32">
        <f t="shared" si="16"/>
        <v>1329</v>
      </c>
      <c r="F91" s="32">
        <f t="shared" si="16"/>
        <v>163</v>
      </c>
      <c r="G91" s="32">
        <f t="shared" si="16"/>
        <v>551</v>
      </c>
      <c r="H91" s="32">
        <f t="shared" si="16"/>
        <v>18</v>
      </c>
      <c r="I91" s="32">
        <f t="shared" si="16"/>
        <v>14</v>
      </c>
      <c r="J91" s="32">
        <f t="shared" si="16"/>
        <v>2</v>
      </c>
      <c r="K91" s="32">
        <f t="shared" si="16"/>
        <v>325</v>
      </c>
      <c r="L91" s="32">
        <f t="shared" si="16"/>
        <v>13</v>
      </c>
      <c r="M91" s="32">
        <f t="shared" si="16"/>
        <v>105</v>
      </c>
      <c r="N91" s="32">
        <f t="shared" si="16"/>
        <v>7</v>
      </c>
      <c r="O91" s="32">
        <f t="shared" si="16"/>
        <v>28</v>
      </c>
      <c r="P91" s="32">
        <f t="shared" si="16"/>
        <v>12</v>
      </c>
      <c r="Q91" s="32">
        <f t="shared" si="16"/>
        <v>10</v>
      </c>
      <c r="R91" s="32">
        <f t="shared" si="16"/>
        <v>0</v>
      </c>
      <c r="S91" s="32">
        <f t="shared" si="16"/>
        <v>0</v>
      </c>
      <c r="W91" s="23">
        <f>SUM(W82:W90)</f>
        <v>551</v>
      </c>
    </row>
    <row r="92" spans="1:23" ht="24.95" customHeight="1" x14ac:dyDescent="0.35">
      <c r="A92" s="31">
        <v>9</v>
      </c>
      <c r="B92" s="33" t="s">
        <v>41</v>
      </c>
      <c r="C92" s="31">
        <v>1</v>
      </c>
      <c r="D92" s="13">
        <f t="shared" si="7"/>
        <v>24</v>
      </c>
      <c r="E92" s="37">
        <v>88</v>
      </c>
      <c r="F92" s="37">
        <v>40</v>
      </c>
      <c r="G92" s="37">
        <v>23</v>
      </c>
      <c r="H92" s="37">
        <v>0</v>
      </c>
      <c r="I92" s="37">
        <v>1</v>
      </c>
      <c r="J92" s="37">
        <v>0</v>
      </c>
      <c r="K92" s="37">
        <v>16</v>
      </c>
      <c r="L92" s="37">
        <v>0</v>
      </c>
      <c r="M92" s="37">
        <v>2</v>
      </c>
      <c r="N92" s="37">
        <v>0</v>
      </c>
      <c r="O92" s="37">
        <v>2</v>
      </c>
      <c r="P92" s="37">
        <v>0</v>
      </c>
      <c r="Q92" s="37">
        <v>0</v>
      </c>
      <c r="R92" s="37">
        <v>0</v>
      </c>
      <c r="S92" s="37">
        <v>0</v>
      </c>
    </row>
    <row r="93" spans="1:23" ht="24.95" customHeight="1" x14ac:dyDescent="0.35">
      <c r="A93" s="26"/>
      <c r="B93" s="26"/>
      <c r="C93" s="26">
        <v>2</v>
      </c>
      <c r="D93" s="13">
        <f t="shared" si="7"/>
        <v>44</v>
      </c>
      <c r="E93" s="35">
        <v>96</v>
      </c>
      <c r="F93" s="35">
        <v>8</v>
      </c>
      <c r="G93" s="35">
        <v>35</v>
      </c>
      <c r="H93" s="35">
        <v>5</v>
      </c>
      <c r="I93" s="35">
        <v>4</v>
      </c>
      <c r="J93" s="35">
        <v>0</v>
      </c>
      <c r="K93" s="35">
        <v>38</v>
      </c>
      <c r="L93" s="35">
        <v>0</v>
      </c>
      <c r="M93" s="35">
        <v>2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U93" s="37">
        <f>85+3</f>
        <v>88</v>
      </c>
      <c r="W93" s="37">
        <f>15+8</f>
        <v>23</v>
      </c>
    </row>
    <row r="94" spans="1:23" ht="24.95" customHeight="1" x14ac:dyDescent="0.35">
      <c r="A94" s="26"/>
      <c r="B94" s="26"/>
      <c r="C94" s="26">
        <v>3</v>
      </c>
      <c r="D94" s="13">
        <f t="shared" si="7"/>
        <v>40</v>
      </c>
      <c r="E94" s="35">
        <v>70</v>
      </c>
      <c r="F94" s="35">
        <v>61</v>
      </c>
      <c r="G94" s="35">
        <v>40</v>
      </c>
      <c r="H94" s="35">
        <v>0</v>
      </c>
      <c r="I94" s="35">
        <v>0</v>
      </c>
      <c r="J94" s="35">
        <v>0</v>
      </c>
      <c r="K94" s="35">
        <v>33</v>
      </c>
      <c r="L94" s="35">
        <v>0</v>
      </c>
      <c r="M94" s="35">
        <v>2</v>
      </c>
      <c r="N94" s="35">
        <v>0</v>
      </c>
      <c r="O94" s="35">
        <v>4</v>
      </c>
      <c r="P94" s="35">
        <v>1</v>
      </c>
      <c r="Q94" s="35">
        <v>0</v>
      </c>
      <c r="R94" s="35">
        <v>0</v>
      </c>
      <c r="S94" s="35">
        <v>0</v>
      </c>
      <c r="U94" s="35">
        <f>93+3</f>
        <v>96</v>
      </c>
      <c r="W94" s="35">
        <f>27+8</f>
        <v>35</v>
      </c>
    </row>
    <row r="95" spans="1:23" ht="24.95" customHeight="1" x14ac:dyDescent="0.35">
      <c r="A95" s="26"/>
      <c r="B95" s="26"/>
      <c r="C95" s="26">
        <v>4</v>
      </c>
      <c r="D95" s="13">
        <f t="shared" si="7"/>
        <v>35</v>
      </c>
      <c r="E95" s="35">
        <v>120</v>
      </c>
      <c r="F95" s="35">
        <v>32</v>
      </c>
      <c r="G95" s="35">
        <v>34</v>
      </c>
      <c r="H95" s="35">
        <v>0</v>
      </c>
      <c r="I95" s="35">
        <v>1</v>
      </c>
      <c r="J95" s="35">
        <v>0</v>
      </c>
      <c r="K95" s="35">
        <v>16</v>
      </c>
      <c r="L95" s="35">
        <v>3</v>
      </c>
      <c r="M95" s="35">
        <v>12</v>
      </c>
      <c r="N95" s="35">
        <v>0</v>
      </c>
      <c r="O95" s="35">
        <v>1</v>
      </c>
      <c r="P95" s="35">
        <v>2</v>
      </c>
      <c r="Q95" s="35">
        <v>1</v>
      </c>
      <c r="R95" s="35">
        <v>0</v>
      </c>
      <c r="S95" s="35">
        <v>0</v>
      </c>
      <c r="U95" s="35">
        <f>67+3</f>
        <v>70</v>
      </c>
      <c r="W95" s="35">
        <f>32+8</f>
        <v>40</v>
      </c>
    </row>
    <row r="96" spans="1:23" ht="24.95" customHeight="1" x14ac:dyDescent="0.35">
      <c r="A96" s="26"/>
      <c r="B96" s="26"/>
      <c r="C96" s="26">
        <v>5</v>
      </c>
      <c r="D96" s="13">
        <f t="shared" ref="D96:D110" si="17">G96+H96+I96+J96</f>
        <v>99</v>
      </c>
      <c r="E96" s="35">
        <v>236</v>
      </c>
      <c r="F96" s="35">
        <v>53</v>
      </c>
      <c r="G96" s="35">
        <v>94</v>
      </c>
      <c r="H96" s="35">
        <v>3</v>
      </c>
      <c r="I96" s="35">
        <v>2</v>
      </c>
      <c r="J96" s="35">
        <v>0</v>
      </c>
      <c r="K96" s="35">
        <v>52</v>
      </c>
      <c r="L96" s="35">
        <v>5</v>
      </c>
      <c r="M96" s="35">
        <v>31</v>
      </c>
      <c r="N96" s="35">
        <v>2</v>
      </c>
      <c r="O96" s="35">
        <v>12</v>
      </c>
      <c r="P96" s="35">
        <v>9</v>
      </c>
      <c r="Q96" s="35">
        <v>18</v>
      </c>
      <c r="R96" s="35">
        <v>0</v>
      </c>
      <c r="S96" s="35">
        <v>0</v>
      </c>
      <c r="U96" s="35">
        <f>117+3</f>
        <v>120</v>
      </c>
      <c r="W96" s="35">
        <f>25+9</f>
        <v>34</v>
      </c>
    </row>
    <row r="97" spans="1:23" ht="24.95" customHeight="1" x14ac:dyDescent="0.35">
      <c r="A97" s="26"/>
      <c r="B97" s="26"/>
      <c r="C97" s="26">
        <v>6</v>
      </c>
      <c r="D97" s="13">
        <f t="shared" si="17"/>
        <v>149</v>
      </c>
      <c r="E97" s="35">
        <v>345</v>
      </c>
      <c r="F97" s="35">
        <v>175</v>
      </c>
      <c r="G97" s="35">
        <v>130</v>
      </c>
      <c r="H97" s="35">
        <v>5</v>
      </c>
      <c r="I97" s="35">
        <v>9</v>
      </c>
      <c r="J97" s="35">
        <v>5</v>
      </c>
      <c r="K97" s="35">
        <v>94</v>
      </c>
      <c r="L97" s="35">
        <v>2</v>
      </c>
      <c r="M97" s="35">
        <v>34</v>
      </c>
      <c r="N97" s="35">
        <v>3</v>
      </c>
      <c r="O97" s="35">
        <v>10</v>
      </c>
      <c r="P97" s="35">
        <v>7</v>
      </c>
      <c r="Q97" s="35">
        <v>1</v>
      </c>
      <c r="R97" s="35">
        <v>0</v>
      </c>
      <c r="S97" s="35">
        <v>0</v>
      </c>
      <c r="U97" s="35">
        <f>234+3</f>
        <v>237</v>
      </c>
      <c r="W97" s="35">
        <f>85+9</f>
        <v>94</v>
      </c>
    </row>
    <row r="98" spans="1:23" ht="24.95" customHeight="1" x14ac:dyDescent="0.35">
      <c r="A98" s="26"/>
      <c r="B98" s="26"/>
      <c r="C98" s="26">
        <v>7</v>
      </c>
      <c r="D98" s="13">
        <f t="shared" si="17"/>
        <v>45</v>
      </c>
      <c r="E98" s="35">
        <v>106</v>
      </c>
      <c r="F98" s="35">
        <v>72</v>
      </c>
      <c r="G98" s="35">
        <v>42</v>
      </c>
      <c r="H98" s="35">
        <v>3</v>
      </c>
      <c r="I98" s="35">
        <v>0</v>
      </c>
      <c r="J98" s="35">
        <v>0</v>
      </c>
      <c r="K98" s="35">
        <v>14</v>
      </c>
      <c r="L98" s="35">
        <v>1</v>
      </c>
      <c r="M98" s="35">
        <v>16</v>
      </c>
      <c r="N98" s="35">
        <v>1</v>
      </c>
      <c r="O98" s="35">
        <v>7</v>
      </c>
      <c r="P98" s="35">
        <v>1</v>
      </c>
      <c r="Q98" s="35">
        <v>0</v>
      </c>
      <c r="R98" s="35">
        <v>0</v>
      </c>
      <c r="S98" s="35">
        <v>0</v>
      </c>
      <c r="U98" s="35">
        <f>343+4</f>
        <v>347</v>
      </c>
      <c r="W98" s="35">
        <f>121+9</f>
        <v>130</v>
      </c>
    </row>
    <row r="99" spans="1:23" ht="24.95" customHeight="1" x14ac:dyDescent="0.35">
      <c r="A99" s="26"/>
      <c r="B99" s="26"/>
      <c r="C99" s="26">
        <v>8</v>
      </c>
      <c r="D99" s="13">
        <f t="shared" si="17"/>
        <v>46</v>
      </c>
      <c r="E99" s="35">
        <v>96</v>
      </c>
      <c r="F99" s="35">
        <v>95</v>
      </c>
      <c r="G99" s="35">
        <v>43</v>
      </c>
      <c r="H99" s="35">
        <v>1</v>
      </c>
      <c r="I99" s="35">
        <v>2</v>
      </c>
      <c r="J99" s="35">
        <v>0</v>
      </c>
      <c r="K99" s="35">
        <v>31</v>
      </c>
      <c r="L99" s="35">
        <v>2</v>
      </c>
      <c r="M99" s="35">
        <v>9</v>
      </c>
      <c r="N99" s="35">
        <v>0</v>
      </c>
      <c r="O99" s="35">
        <v>6</v>
      </c>
      <c r="P99" s="35">
        <v>2</v>
      </c>
      <c r="Q99" s="35">
        <v>1</v>
      </c>
      <c r="R99" s="35">
        <v>0</v>
      </c>
      <c r="S99" s="35">
        <v>0</v>
      </c>
      <c r="U99" s="35">
        <f>103+4</f>
        <v>107</v>
      </c>
      <c r="W99" s="35">
        <f>33+9</f>
        <v>42</v>
      </c>
    </row>
    <row r="100" spans="1:23" ht="24.95" customHeight="1" x14ac:dyDescent="0.35">
      <c r="A100" s="26"/>
      <c r="B100" s="26"/>
      <c r="C100" s="26">
        <v>9</v>
      </c>
      <c r="D100" s="13">
        <f t="shared" si="17"/>
        <v>104</v>
      </c>
      <c r="E100" s="36">
        <v>137</v>
      </c>
      <c r="F100" s="36">
        <v>163</v>
      </c>
      <c r="G100" s="36">
        <v>92</v>
      </c>
      <c r="H100" s="36">
        <v>10</v>
      </c>
      <c r="I100" s="36">
        <v>2</v>
      </c>
      <c r="J100" s="36">
        <v>0</v>
      </c>
      <c r="K100" s="36">
        <v>74</v>
      </c>
      <c r="L100" s="36">
        <v>2</v>
      </c>
      <c r="M100" s="36">
        <v>11</v>
      </c>
      <c r="N100" s="36">
        <v>2</v>
      </c>
      <c r="O100" s="36">
        <v>6</v>
      </c>
      <c r="P100" s="36">
        <v>1</v>
      </c>
      <c r="Q100" s="36">
        <v>2</v>
      </c>
      <c r="R100" s="36">
        <v>0</v>
      </c>
      <c r="S100" s="36">
        <v>0</v>
      </c>
      <c r="U100" s="35">
        <f>92+4</f>
        <v>96</v>
      </c>
      <c r="W100" s="35">
        <f>34+9</f>
        <v>43</v>
      </c>
    </row>
    <row r="101" spans="1:23" ht="18" customHeight="1" x14ac:dyDescent="0.35">
      <c r="A101" s="6"/>
      <c r="B101" s="6"/>
      <c r="C101" s="29" t="s">
        <v>33</v>
      </c>
      <c r="D101" s="32">
        <f t="shared" ref="D101:S101" si="18">SUM(D92:D100)</f>
        <v>586</v>
      </c>
      <c r="E101" s="32">
        <f t="shared" si="18"/>
        <v>1294</v>
      </c>
      <c r="F101" s="32">
        <f t="shared" si="18"/>
        <v>699</v>
      </c>
      <c r="G101" s="32">
        <f t="shared" si="18"/>
        <v>533</v>
      </c>
      <c r="H101" s="32">
        <f t="shared" si="18"/>
        <v>27</v>
      </c>
      <c r="I101" s="32">
        <f t="shared" si="18"/>
        <v>21</v>
      </c>
      <c r="J101" s="32">
        <f t="shared" si="18"/>
        <v>5</v>
      </c>
      <c r="K101" s="32">
        <f t="shared" si="18"/>
        <v>368</v>
      </c>
      <c r="L101" s="32">
        <f t="shared" si="18"/>
        <v>15</v>
      </c>
      <c r="M101" s="32">
        <f t="shared" si="18"/>
        <v>119</v>
      </c>
      <c r="N101" s="32">
        <f t="shared" si="18"/>
        <v>8</v>
      </c>
      <c r="O101" s="32">
        <f t="shared" si="18"/>
        <v>48</v>
      </c>
      <c r="P101" s="32">
        <f t="shared" si="18"/>
        <v>23</v>
      </c>
      <c r="Q101" s="32">
        <f t="shared" si="18"/>
        <v>23</v>
      </c>
      <c r="R101" s="32">
        <f t="shared" si="18"/>
        <v>0</v>
      </c>
      <c r="S101" s="32">
        <f t="shared" si="18"/>
        <v>0</v>
      </c>
      <c r="U101" s="36">
        <f>133+4</f>
        <v>137</v>
      </c>
      <c r="W101" s="36">
        <f>84+8</f>
        <v>92</v>
      </c>
    </row>
    <row r="102" spans="1:23" ht="24.95" customHeight="1" x14ac:dyDescent="0.35">
      <c r="A102" s="31">
        <v>10</v>
      </c>
      <c r="B102" s="33" t="s">
        <v>42</v>
      </c>
      <c r="C102" s="31">
        <v>1</v>
      </c>
      <c r="D102" s="13">
        <f t="shared" si="17"/>
        <v>16</v>
      </c>
      <c r="E102" s="37">
        <v>2</v>
      </c>
      <c r="F102" s="37">
        <v>1</v>
      </c>
      <c r="G102" s="37">
        <v>16</v>
      </c>
      <c r="H102" s="37">
        <v>0</v>
      </c>
      <c r="I102" s="37">
        <v>0</v>
      </c>
      <c r="J102" s="37">
        <v>0</v>
      </c>
      <c r="K102" s="37">
        <v>10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W102" s="23">
        <f>SUM(W93:W101)</f>
        <v>533</v>
      </c>
    </row>
    <row r="103" spans="1:23" ht="24.95" customHeight="1" x14ac:dyDescent="0.35">
      <c r="A103" s="26"/>
      <c r="B103" s="26"/>
      <c r="C103" s="26">
        <v>2</v>
      </c>
      <c r="D103" s="13">
        <f t="shared" si="17"/>
        <v>12</v>
      </c>
      <c r="E103" s="35">
        <v>8</v>
      </c>
      <c r="F103" s="35">
        <v>0</v>
      </c>
      <c r="G103" s="35">
        <v>12</v>
      </c>
      <c r="H103" s="35">
        <v>0</v>
      </c>
      <c r="I103" s="35">
        <v>0</v>
      </c>
      <c r="J103" s="35">
        <v>0</v>
      </c>
      <c r="K103" s="35">
        <v>8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1</v>
      </c>
      <c r="R103" s="35">
        <v>0</v>
      </c>
      <c r="S103" s="35">
        <v>0</v>
      </c>
      <c r="W103" s="37">
        <f>8+8</f>
        <v>16</v>
      </c>
    </row>
    <row r="104" spans="1:23" ht="24.95" customHeight="1" x14ac:dyDescent="0.35">
      <c r="A104" s="26"/>
      <c r="B104" s="26"/>
      <c r="C104" s="26">
        <v>3</v>
      </c>
      <c r="D104" s="13">
        <f t="shared" si="17"/>
        <v>18</v>
      </c>
      <c r="E104" s="35">
        <v>16</v>
      </c>
      <c r="F104" s="35">
        <v>0</v>
      </c>
      <c r="G104" s="35">
        <v>18</v>
      </c>
      <c r="H104" s="35">
        <v>0</v>
      </c>
      <c r="I104" s="35">
        <v>0</v>
      </c>
      <c r="J104" s="35">
        <v>0</v>
      </c>
      <c r="K104" s="35">
        <v>11</v>
      </c>
      <c r="L104" s="35">
        <v>0</v>
      </c>
      <c r="M104" s="35">
        <v>1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W104" s="35">
        <f>4+8</f>
        <v>12</v>
      </c>
    </row>
    <row r="105" spans="1:23" ht="24.95" customHeight="1" x14ac:dyDescent="0.35">
      <c r="A105" s="26"/>
      <c r="B105" s="26"/>
      <c r="C105" s="26">
        <v>4</v>
      </c>
      <c r="D105" s="13">
        <f t="shared" si="17"/>
        <v>16</v>
      </c>
      <c r="E105" s="35">
        <v>6</v>
      </c>
      <c r="F105" s="35">
        <v>2</v>
      </c>
      <c r="G105" s="35">
        <v>16</v>
      </c>
      <c r="H105" s="35">
        <v>0</v>
      </c>
      <c r="I105" s="35">
        <v>0</v>
      </c>
      <c r="J105" s="35">
        <v>0</v>
      </c>
      <c r="K105" s="35">
        <v>11</v>
      </c>
      <c r="L105" s="35">
        <v>0</v>
      </c>
      <c r="M105" s="35">
        <v>1</v>
      </c>
      <c r="N105" s="35">
        <v>0</v>
      </c>
      <c r="O105" s="35">
        <v>0</v>
      </c>
      <c r="P105" s="35">
        <v>1</v>
      </c>
      <c r="Q105" s="35">
        <v>0</v>
      </c>
      <c r="R105" s="35">
        <v>0</v>
      </c>
      <c r="S105" s="35">
        <v>0</v>
      </c>
      <c r="W105" s="35">
        <f>9+9</f>
        <v>18</v>
      </c>
    </row>
    <row r="106" spans="1:23" ht="24.95" customHeight="1" x14ac:dyDescent="0.35">
      <c r="A106" s="26"/>
      <c r="B106" s="26"/>
      <c r="C106" s="26">
        <v>5</v>
      </c>
      <c r="D106" s="13">
        <f t="shared" si="17"/>
        <v>45</v>
      </c>
      <c r="E106" s="35">
        <v>25</v>
      </c>
      <c r="F106" s="35">
        <v>16</v>
      </c>
      <c r="G106" s="35">
        <v>42</v>
      </c>
      <c r="H106" s="35">
        <v>3</v>
      </c>
      <c r="I106" s="35">
        <v>0</v>
      </c>
      <c r="J106" s="35">
        <v>0</v>
      </c>
      <c r="K106" s="35">
        <v>20</v>
      </c>
      <c r="L106" s="35">
        <v>1</v>
      </c>
      <c r="M106" s="35">
        <v>10</v>
      </c>
      <c r="N106" s="35">
        <v>1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W106" s="35">
        <f>7+9</f>
        <v>16</v>
      </c>
    </row>
    <row r="107" spans="1:23" ht="24.95" customHeight="1" x14ac:dyDescent="0.35">
      <c r="A107" s="26"/>
      <c r="B107" s="26"/>
      <c r="C107" s="26">
        <v>6</v>
      </c>
      <c r="D107" s="13">
        <f t="shared" si="17"/>
        <v>56</v>
      </c>
      <c r="E107" s="35">
        <v>53</v>
      </c>
      <c r="F107" s="35">
        <v>13</v>
      </c>
      <c r="G107" s="35">
        <v>52</v>
      </c>
      <c r="H107" s="35">
        <v>1</v>
      </c>
      <c r="I107" s="35">
        <v>3</v>
      </c>
      <c r="J107" s="35">
        <v>0</v>
      </c>
      <c r="K107" s="35">
        <v>22</v>
      </c>
      <c r="L107" s="35">
        <v>4</v>
      </c>
      <c r="M107" s="35">
        <v>23</v>
      </c>
      <c r="N107" s="35">
        <v>2</v>
      </c>
      <c r="O107" s="35">
        <v>2</v>
      </c>
      <c r="P107" s="35">
        <v>2</v>
      </c>
      <c r="Q107" s="35">
        <v>2</v>
      </c>
      <c r="R107" s="35">
        <v>0</v>
      </c>
      <c r="S107" s="35">
        <v>0</v>
      </c>
      <c r="W107" s="35">
        <f>33+9</f>
        <v>42</v>
      </c>
    </row>
    <row r="108" spans="1:23" ht="24.95" customHeight="1" x14ac:dyDescent="0.35">
      <c r="A108" s="26"/>
      <c r="B108" s="26"/>
      <c r="C108" s="26">
        <v>7</v>
      </c>
      <c r="D108" s="13">
        <f t="shared" si="17"/>
        <v>22</v>
      </c>
      <c r="E108" s="35">
        <v>34</v>
      </c>
      <c r="F108" s="35">
        <v>1</v>
      </c>
      <c r="G108" s="35">
        <v>17</v>
      </c>
      <c r="H108" s="35">
        <v>3</v>
      </c>
      <c r="I108" s="35">
        <v>2</v>
      </c>
      <c r="J108" s="35">
        <v>0</v>
      </c>
      <c r="K108" s="35">
        <v>21</v>
      </c>
      <c r="L108" s="35">
        <v>0</v>
      </c>
      <c r="M108" s="35">
        <v>2</v>
      </c>
      <c r="N108" s="35">
        <v>0</v>
      </c>
      <c r="O108" s="35">
        <v>2</v>
      </c>
      <c r="P108" s="35">
        <v>0</v>
      </c>
      <c r="Q108" s="35">
        <v>0</v>
      </c>
      <c r="R108" s="35">
        <v>0</v>
      </c>
      <c r="S108" s="35">
        <v>0</v>
      </c>
      <c r="W108" s="35">
        <f>43+9</f>
        <v>52</v>
      </c>
    </row>
    <row r="109" spans="1:23" ht="24.95" customHeight="1" x14ac:dyDescent="0.35">
      <c r="A109" s="26"/>
      <c r="B109" s="26"/>
      <c r="C109" s="26">
        <v>8</v>
      </c>
      <c r="D109" s="13">
        <f t="shared" si="17"/>
        <v>24</v>
      </c>
      <c r="E109" s="35">
        <v>54</v>
      </c>
      <c r="F109" s="35">
        <v>1</v>
      </c>
      <c r="G109" s="35">
        <v>23</v>
      </c>
      <c r="H109" s="35">
        <v>1</v>
      </c>
      <c r="I109" s="35">
        <v>0</v>
      </c>
      <c r="J109" s="35">
        <v>0</v>
      </c>
      <c r="K109" s="35">
        <v>13</v>
      </c>
      <c r="L109" s="35">
        <v>0</v>
      </c>
      <c r="M109" s="35">
        <v>2</v>
      </c>
      <c r="N109" s="35">
        <v>0</v>
      </c>
      <c r="O109" s="35">
        <v>1</v>
      </c>
      <c r="P109" s="35">
        <v>0</v>
      </c>
      <c r="Q109" s="35">
        <v>0</v>
      </c>
      <c r="R109" s="35">
        <v>0</v>
      </c>
      <c r="S109" s="35">
        <v>0</v>
      </c>
      <c r="W109" s="35">
        <f>8+9</f>
        <v>17</v>
      </c>
    </row>
    <row r="110" spans="1:23" ht="24.95" customHeight="1" x14ac:dyDescent="0.35">
      <c r="A110" s="26"/>
      <c r="B110" s="26"/>
      <c r="C110" s="26">
        <v>9</v>
      </c>
      <c r="D110" s="13">
        <f t="shared" si="17"/>
        <v>62</v>
      </c>
      <c r="E110" s="36">
        <v>57</v>
      </c>
      <c r="F110" s="36">
        <v>12</v>
      </c>
      <c r="G110" s="36">
        <v>60</v>
      </c>
      <c r="H110" s="36">
        <v>1</v>
      </c>
      <c r="I110" s="36">
        <v>1</v>
      </c>
      <c r="J110" s="36">
        <v>0</v>
      </c>
      <c r="K110" s="36">
        <v>23</v>
      </c>
      <c r="L110" s="36">
        <v>1</v>
      </c>
      <c r="M110" s="36">
        <v>6</v>
      </c>
      <c r="N110" s="36">
        <v>0</v>
      </c>
      <c r="O110" s="36">
        <v>2</v>
      </c>
      <c r="P110" s="36">
        <v>0</v>
      </c>
      <c r="Q110" s="36">
        <v>1</v>
      </c>
      <c r="R110" s="36">
        <v>0</v>
      </c>
      <c r="S110" s="36">
        <v>0</v>
      </c>
      <c r="W110" s="35">
        <f>14+9</f>
        <v>23</v>
      </c>
    </row>
    <row r="111" spans="1:23" ht="18" customHeight="1" x14ac:dyDescent="0.35">
      <c r="A111" s="6"/>
      <c r="B111" s="6"/>
      <c r="C111" s="29" t="s">
        <v>33</v>
      </c>
      <c r="D111" s="30">
        <f t="shared" ref="D111:S111" si="19">SUM(D102:D110)</f>
        <v>271</v>
      </c>
      <c r="E111" s="30">
        <f t="shared" si="19"/>
        <v>255</v>
      </c>
      <c r="F111" s="30">
        <f t="shared" si="19"/>
        <v>46</v>
      </c>
      <c r="G111" s="30">
        <f t="shared" si="19"/>
        <v>256</v>
      </c>
      <c r="H111" s="30">
        <f t="shared" si="19"/>
        <v>9</v>
      </c>
      <c r="I111" s="30">
        <f t="shared" si="19"/>
        <v>6</v>
      </c>
      <c r="J111" s="30">
        <f t="shared" si="19"/>
        <v>0</v>
      </c>
      <c r="K111" s="30">
        <f>SUM(K102:K110)</f>
        <v>139</v>
      </c>
      <c r="L111" s="30">
        <f t="shared" si="19"/>
        <v>6</v>
      </c>
      <c r="M111" s="30">
        <f t="shared" si="19"/>
        <v>45</v>
      </c>
      <c r="N111" s="30">
        <f t="shared" si="19"/>
        <v>3</v>
      </c>
      <c r="O111" s="30">
        <f t="shared" si="19"/>
        <v>7</v>
      </c>
      <c r="P111" s="30">
        <f t="shared" si="19"/>
        <v>3</v>
      </c>
      <c r="Q111" s="30">
        <f t="shared" si="19"/>
        <v>4</v>
      </c>
      <c r="R111" s="30">
        <f t="shared" si="19"/>
        <v>0</v>
      </c>
      <c r="S111" s="30">
        <f t="shared" si="19"/>
        <v>0</v>
      </c>
      <c r="W111" s="36">
        <f>51+9</f>
        <v>60</v>
      </c>
    </row>
    <row r="112" spans="1:23" ht="24.95" customHeight="1" x14ac:dyDescent="0.35">
      <c r="A112" s="31"/>
      <c r="B112" s="33" t="s">
        <v>43</v>
      </c>
      <c r="C112" s="31">
        <v>1</v>
      </c>
      <c r="D112" s="38">
        <f>D12+D22+D32+D42+D52+D62+D72+D82+D92+D102</f>
        <v>571</v>
      </c>
      <c r="E112" s="37">
        <f t="shared" ref="D112:S120" si="20">E12+E22+E32+E42+E52+E62+E72+E82+E92+E102</f>
        <v>4701</v>
      </c>
      <c r="F112" s="37">
        <f t="shared" si="20"/>
        <v>1388</v>
      </c>
      <c r="G112" s="37">
        <f t="shared" ref="G112:G120" si="21">G12+W22+G32+G42+G52+G62+G72+G82+G92+G102</f>
        <v>532</v>
      </c>
      <c r="H112" s="37">
        <f t="shared" si="20"/>
        <v>28</v>
      </c>
      <c r="I112" s="37">
        <f t="shared" si="20"/>
        <v>6</v>
      </c>
      <c r="J112" s="37">
        <f t="shared" si="20"/>
        <v>5</v>
      </c>
      <c r="K112" s="37">
        <f t="shared" si="20"/>
        <v>380</v>
      </c>
      <c r="L112" s="37">
        <f t="shared" si="20"/>
        <v>6</v>
      </c>
      <c r="M112" s="37">
        <f t="shared" si="20"/>
        <v>102</v>
      </c>
      <c r="N112" s="37">
        <f t="shared" si="20"/>
        <v>0</v>
      </c>
      <c r="O112" s="37">
        <f t="shared" si="20"/>
        <v>37</v>
      </c>
      <c r="P112" s="37">
        <f t="shared" si="20"/>
        <v>13</v>
      </c>
      <c r="Q112" s="37">
        <f t="shared" si="20"/>
        <v>3</v>
      </c>
      <c r="R112" s="37">
        <f t="shared" si="20"/>
        <v>3</v>
      </c>
      <c r="S112" s="37">
        <f t="shared" si="20"/>
        <v>0</v>
      </c>
      <c r="W112" s="23">
        <f>SUM(W103:W111)</f>
        <v>256</v>
      </c>
    </row>
    <row r="113" spans="1:19" ht="24.95" customHeight="1" x14ac:dyDescent="0.35">
      <c r="A113" s="26"/>
      <c r="B113" s="39" t="s">
        <v>44</v>
      </c>
      <c r="C113" s="26">
        <v>2</v>
      </c>
      <c r="D113" s="40">
        <f t="shared" si="20"/>
        <v>591</v>
      </c>
      <c r="E113" s="35">
        <f t="shared" si="20"/>
        <v>3452</v>
      </c>
      <c r="F113" s="35">
        <f t="shared" si="20"/>
        <v>1490</v>
      </c>
      <c r="G113" s="35">
        <f t="shared" si="21"/>
        <v>513</v>
      </c>
      <c r="H113" s="35">
        <f t="shared" si="20"/>
        <v>52</v>
      </c>
      <c r="I113" s="35">
        <f t="shared" si="20"/>
        <v>26</v>
      </c>
      <c r="J113" s="35">
        <f t="shared" si="20"/>
        <v>0</v>
      </c>
      <c r="K113" s="35">
        <f t="shared" si="20"/>
        <v>359</v>
      </c>
      <c r="L113" s="35">
        <f t="shared" si="20"/>
        <v>6</v>
      </c>
      <c r="M113" s="35">
        <f t="shared" si="20"/>
        <v>107</v>
      </c>
      <c r="N113" s="35">
        <f t="shared" si="20"/>
        <v>1</v>
      </c>
      <c r="O113" s="35">
        <f t="shared" si="20"/>
        <v>27</v>
      </c>
      <c r="P113" s="35">
        <f t="shared" si="20"/>
        <v>3</v>
      </c>
      <c r="Q113" s="35">
        <f t="shared" si="20"/>
        <v>6</v>
      </c>
      <c r="R113" s="35">
        <f t="shared" si="20"/>
        <v>0</v>
      </c>
      <c r="S113" s="35">
        <f t="shared" si="20"/>
        <v>0</v>
      </c>
    </row>
    <row r="114" spans="1:19" ht="24.95" customHeight="1" x14ac:dyDescent="0.35">
      <c r="A114" s="26"/>
      <c r="B114" s="26"/>
      <c r="C114" s="26">
        <v>3</v>
      </c>
      <c r="D114" s="40">
        <f t="shared" si="20"/>
        <v>619</v>
      </c>
      <c r="E114" s="35">
        <f t="shared" si="20"/>
        <v>3847</v>
      </c>
      <c r="F114" s="35">
        <f t="shared" si="20"/>
        <v>1382</v>
      </c>
      <c r="G114" s="35">
        <f t="shared" si="21"/>
        <v>554</v>
      </c>
      <c r="H114" s="35">
        <f t="shared" si="20"/>
        <v>41</v>
      </c>
      <c r="I114" s="35">
        <f t="shared" si="20"/>
        <v>17</v>
      </c>
      <c r="J114" s="35">
        <f t="shared" si="20"/>
        <v>7</v>
      </c>
      <c r="K114" s="35">
        <f t="shared" si="20"/>
        <v>394</v>
      </c>
      <c r="L114" s="35">
        <f t="shared" si="20"/>
        <v>15</v>
      </c>
      <c r="M114" s="35">
        <f t="shared" si="20"/>
        <v>114</v>
      </c>
      <c r="N114" s="35">
        <f t="shared" si="20"/>
        <v>1</v>
      </c>
      <c r="O114" s="35">
        <f t="shared" si="20"/>
        <v>50</v>
      </c>
      <c r="P114" s="35">
        <f t="shared" si="20"/>
        <v>10</v>
      </c>
      <c r="Q114" s="35">
        <f t="shared" si="20"/>
        <v>8</v>
      </c>
      <c r="R114" s="35">
        <f t="shared" si="20"/>
        <v>6</v>
      </c>
      <c r="S114" s="35">
        <f t="shared" si="20"/>
        <v>0</v>
      </c>
    </row>
    <row r="115" spans="1:19" ht="24.95" customHeight="1" x14ac:dyDescent="0.35">
      <c r="A115" s="26"/>
      <c r="B115" s="26"/>
      <c r="C115" s="26">
        <v>4</v>
      </c>
      <c r="D115" s="40">
        <f t="shared" si="20"/>
        <v>932</v>
      </c>
      <c r="E115" s="35">
        <f t="shared" si="20"/>
        <v>4569</v>
      </c>
      <c r="F115" s="35">
        <f t="shared" si="20"/>
        <v>1831</v>
      </c>
      <c r="G115" s="35">
        <f t="shared" si="21"/>
        <v>788</v>
      </c>
      <c r="H115" s="35">
        <f t="shared" si="20"/>
        <v>77</v>
      </c>
      <c r="I115" s="35">
        <f t="shared" si="20"/>
        <v>61</v>
      </c>
      <c r="J115" s="35">
        <f t="shared" si="20"/>
        <v>6</v>
      </c>
      <c r="K115" s="35">
        <f t="shared" si="20"/>
        <v>563</v>
      </c>
      <c r="L115" s="35">
        <f t="shared" si="20"/>
        <v>26</v>
      </c>
      <c r="M115" s="35">
        <f t="shared" si="20"/>
        <v>192</v>
      </c>
      <c r="N115" s="35">
        <f t="shared" si="20"/>
        <v>12</v>
      </c>
      <c r="O115" s="35">
        <f t="shared" si="20"/>
        <v>53</v>
      </c>
      <c r="P115" s="35">
        <f t="shared" si="20"/>
        <v>24</v>
      </c>
      <c r="Q115" s="35">
        <f t="shared" si="20"/>
        <v>11</v>
      </c>
      <c r="R115" s="35">
        <f t="shared" si="20"/>
        <v>3</v>
      </c>
      <c r="S115" s="35">
        <f t="shared" si="20"/>
        <v>0</v>
      </c>
    </row>
    <row r="116" spans="1:19" ht="24.95" customHeight="1" x14ac:dyDescent="0.35">
      <c r="A116" s="26"/>
      <c r="B116" s="26"/>
      <c r="C116" s="26">
        <v>5</v>
      </c>
      <c r="D116" s="40">
        <f t="shared" si="20"/>
        <v>1295</v>
      </c>
      <c r="E116" s="35">
        <f t="shared" si="20"/>
        <v>7490</v>
      </c>
      <c r="F116" s="35">
        <f t="shared" si="20"/>
        <v>2557</v>
      </c>
      <c r="G116" s="35">
        <f t="shared" si="21"/>
        <v>1135</v>
      </c>
      <c r="H116" s="35">
        <f t="shared" si="20"/>
        <v>86</v>
      </c>
      <c r="I116" s="35">
        <f t="shared" si="20"/>
        <v>62</v>
      </c>
      <c r="J116" s="35">
        <f t="shared" si="20"/>
        <v>12</v>
      </c>
      <c r="K116" s="35">
        <f t="shared" si="20"/>
        <v>791</v>
      </c>
      <c r="L116" s="35">
        <f t="shared" si="20"/>
        <v>41</v>
      </c>
      <c r="M116" s="35">
        <f t="shared" si="20"/>
        <v>270</v>
      </c>
      <c r="N116" s="35">
        <f t="shared" si="20"/>
        <v>26</v>
      </c>
      <c r="O116" s="35">
        <f t="shared" si="20"/>
        <v>94</v>
      </c>
      <c r="P116" s="35">
        <f t="shared" si="20"/>
        <v>49</v>
      </c>
      <c r="Q116" s="35">
        <f t="shared" si="20"/>
        <v>55</v>
      </c>
      <c r="R116" s="35">
        <f t="shared" si="20"/>
        <v>14</v>
      </c>
      <c r="S116" s="35">
        <f t="shared" si="20"/>
        <v>0</v>
      </c>
    </row>
    <row r="117" spans="1:19" ht="24.95" customHeight="1" x14ac:dyDescent="0.35">
      <c r="A117" s="26"/>
      <c r="B117" s="26"/>
      <c r="C117" s="26">
        <v>6</v>
      </c>
      <c r="D117" s="40">
        <f t="shared" si="20"/>
        <v>1945</v>
      </c>
      <c r="E117" s="35">
        <f t="shared" si="20"/>
        <v>8137</v>
      </c>
      <c r="F117" s="35">
        <f t="shared" si="20"/>
        <v>2648</v>
      </c>
      <c r="G117" s="35">
        <f t="shared" si="21"/>
        <v>1658</v>
      </c>
      <c r="H117" s="35">
        <f t="shared" si="20"/>
        <v>149</v>
      </c>
      <c r="I117" s="35">
        <f t="shared" si="20"/>
        <v>108</v>
      </c>
      <c r="J117" s="35">
        <f t="shared" si="20"/>
        <v>30</v>
      </c>
      <c r="K117" s="35">
        <f t="shared" si="20"/>
        <v>1151</v>
      </c>
      <c r="L117" s="35">
        <f t="shared" si="20"/>
        <v>51</v>
      </c>
      <c r="M117" s="35">
        <f t="shared" si="20"/>
        <v>478</v>
      </c>
      <c r="N117" s="35">
        <f t="shared" si="20"/>
        <v>43</v>
      </c>
      <c r="O117" s="35">
        <f t="shared" si="20"/>
        <v>120</v>
      </c>
      <c r="P117" s="35">
        <f t="shared" si="20"/>
        <v>64</v>
      </c>
      <c r="Q117" s="35">
        <f t="shared" si="20"/>
        <v>48</v>
      </c>
      <c r="R117" s="35">
        <f t="shared" si="20"/>
        <v>20</v>
      </c>
      <c r="S117" s="35">
        <f t="shared" si="20"/>
        <v>0</v>
      </c>
    </row>
    <row r="118" spans="1:19" ht="24.95" customHeight="1" x14ac:dyDescent="0.35">
      <c r="A118" s="26"/>
      <c r="B118" s="26"/>
      <c r="C118" s="26">
        <v>7</v>
      </c>
      <c r="D118" s="40">
        <f t="shared" si="20"/>
        <v>682</v>
      </c>
      <c r="E118" s="35">
        <f t="shared" si="20"/>
        <v>4455</v>
      </c>
      <c r="F118" s="35">
        <f t="shared" si="20"/>
        <v>1433</v>
      </c>
      <c r="G118" s="35">
        <f t="shared" si="21"/>
        <v>589</v>
      </c>
      <c r="H118" s="35">
        <f t="shared" si="20"/>
        <v>47</v>
      </c>
      <c r="I118" s="35">
        <f t="shared" si="20"/>
        <v>34</v>
      </c>
      <c r="J118" s="35">
        <f t="shared" si="20"/>
        <v>12</v>
      </c>
      <c r="K118" s="35">
        <f t="shared" si="20"/>
        <v>410</v>
      </c>
      <c r="L118" s="35">
        <f t="shared" si="20"/>
        <v>36</v>
      </c>
      <c r="M118" s="35">
        <f t="shared" si="20"/>
        <v>136</v>
      </c>
      <c r="N118" s="35">
        <f t="shared" si="20"/>
        <v>10</v>
      </c>
      <c r="O118" s="35">
        <f t="shared" si="20"/>
        <v>67</v>
      </c>
      <c r="P118" s="35">
        <f t="shared" si="20"/>
        <v>27</v>
      </c>
      <c r="Q118" s="35">
        <f t="shared" si="20"/>
        <v>13</v>
      </c>
      <c r="R118" s="35">
        <f t="shared" si="20"/>
        <v>0</v>
      </c>
      <c r="S118" s="35">
        <f t="shared" si="20"/>
        <v>0</v>
      </c>
    </row>
    <row r="119" spans="1:19" ht="24.95" customHeight="1" x14ac:dyDescent="0.35">
      <c r="A119" s="26"/>
      <c r="B119" s="26"/>
      <c r="C119" s="26">
        <v>8</v>
      </c>
      <c r="D119" s="40">
        <f t="shared" si="20"/>
        <v>1142</v>
      </c>
      <c r="E119" s="35">
        <f t="shared" si="20"/>
        <v>5252</v>
      </c>
      <c r="F119" s="35">
        <f t="shared" si="20"/>
        <v>1823</v>
      </c>
      <c r="G119" s="35">
        <f t="shared" si="21"/>
        <v>968</v>
      </c>
      <c r="H119" s="35">
        <f t="shared" si="20"/>
        <v>85</v>
      </c>
      <c r="I119" s="35">
        <f t="shared" si="20"/>
        <v>83</v>
      </c>
      <c r="J119" s="35">
        <f t="shared" si="20"/>
        <v>6</v>
      </c>
      <c r="K119" s="35">
        <f t="shared" si="20"/>
        <v>831</v>
      </c>
      <c r="L119" s="35">
        <f t="shared" si="20"/>
        <v>26</v>
      </c>
      <c r="M119" s="35">
        <f t="shared" si="20"/>
        <v>198</v>
      </c>
      <c r="N119" s="35">
        <f t="shared" si="20"/>
        <v>6</v>
      </c>
      <c r="O119" s="35">
        <f t="shared" si="20"/>
        <v>96</v>
      </c>
      <c r="P119" s="35">
        <f t="shared" si="20"/>
        <v>37</v>
      </c>
      <c r="Q119" s="35">
        <f t="shared" si="20"/>
        <v>20</v>
      </c>
      <c r="R119" s="35">
        <f t="shared" si="20"/>
        <v>5</v>
      </c>
      <c r="S119" s="35">
        <f t="shared" si="20"/>
        <v>0</v>
      </c>
    </row>
    <row r="120" spans="1:19" ht="24.95" customHeight="1" x14ac:dyDescent="0.35">
      <c r="A120" s="26"/>
      <c r="B120" s="26"/>
      <c r="C120" s="26">
        <v>9</v>
      </c>
      <c r="D120" s="40">
        <f t="shared" si="20"/>
        <v>2280</v>
      </c>
      <c r="E120" s="36">
        <f t="shared" si="20"/>
        <v>8859</v>
      </c>
      <c r="F120" s="36">
        <f t="shared" si="20"/>
        <v>2875</v>
      </c>
      <c r="G120" s="36">
        <f t="shared" si="21"/>
        <v>1900</v>
      </c>
      <c r="H120" s="36">
        <f t="shared" si="20"/>
        <v>178</v>
      </c>
      <c r="I120" s="36">
        <f t="shared" si="20"/>
        <v>168</v>
      </c>
      <c r="J120" s="36">
        <f t="shared" si="20"/>
        <v>34</v>
      </c>
      <c r="K120" s="36">
        <f t="shared" si="20"/>
        <v>1307</v>
      </c>
      <c r="L120" s="36">
        <f t="shared" si="20"/>
        <v>42</v>
      </c>
      <c r="M120" s="36">
        <f t="shared" si="20"/>
        <v>358</v>
      </c>
      <c r="N120" s="36">
        <f t="shared" si="20"/>
        <v>32</v>
      </c>
      <c r="O120" s="36">
        <f t="shared" si="20"/>
        <v>224</v>
      </c>
      <c r="P120" s="36">
        <f t="shared" si="20"/>
        <v>92</v>
      </c>
      <c r="Q120" s="36">
        <f t="shared" si="20"/>
        <v>87</v>
      </c>
      <c r="R120" s="36">
        <f t="shared" si="20"/>
        <v>33</v>
      </c>
      <c r="S120" s="36">
        <f t="shared" si="20"/>
        <v>0</v>
      </c>
    </row>
    <row r="121" spans="1:19" ht="24.95" customHeight="1" x14ac:dyDescent="0.35">
      <c r="A121" s="6"/>
      <c r="B121" s="6"/>
      <c r="C121" s="29" t="s">
        <v>33</v>
      </c>
      <c r="D121" s="30">
        <f>SUM(D112:D120)</f>
        <v>10057</v>
      </c>
      <c r="E121" s="30">
        <f t="shared" ref="E121:S121" si="22">SUM(E112:E120)</f>
        <v>50762</v>
      </c>
      <c r="F121" s="30">
        <f t="shared" si="22"/>
        <v>17427</v>
      </c>
      <c r="G121" s="30">
        <f t="shared" si="22"/>
        <v>8637</v>
      </c>
      <c r="H121" s="30">
        <f t="shared" si="22"/>
        <v>743</v>
      </c>
      <c r="I121" s="30">
        <f t="shared" si="22"/>
        <v>565</v>
      </c>
      <c r="J121" s="30">
        <f t="shared" si="22"/>
        <v>112</v>
      </c>
      <c r="K121" s="30">
        <f t="shared" si="22"/>
        <v>6186</v>
      </c>
      <c r="L121" s="30">
        <f t="shared" si="22"/>
        <v>249</v>
      </c>
      <c r="M121" s="30">
        <f t="shared" si="22"/>
        <v>1955</v>
      </c>
      <c r="N121" s="30">
        <f t="shared" si="22"/>
        <v>131</v>
      </c>
      <c r="O121" s="30">
        <f t="shared" si="22"/>
        <v>768</v>
      </c>
      <c r="P121" s="30">
        <f t="shared" si="22"/>
        <v>319</v>
      </c>
      <c r="Q121" s="30">
        <f t="shared" si="22"/>
        <v>251</v>
      </c>
      <c r="R121" s="30">
        <f t="shared" si="22"/>
        <v>84</v>
      </c>
      <c r="S121" s="30">
        <f t="shared" si="22"/>
        <v>0</v>
      </c>
    </row>
    <row r="122" spans="1:19" ht="24.95" customHeight="1" x14ac:dyDescent="0.35">
      <c r="A122" s="45" t="s">
        <v>45</v>
      </c>
      <c r="B122" s="46"/>
      <c r="C122" s="47"/>
      <c r="D122" s="32">
        <f>D21+D31+D41+D51+D61+D71+D81+D91+D101+D111</f>
        <v>10057</v>
      </c>
      <c r="E122" s="41">
        <f t="shared" ref="E122:S122" si="23">E21+E31+E41+E51+E61+E71+E81+E91+E101+E111</f>
        <v>50762</v>
      </c>
      <c r="F122" s="41">
        <f>F21+F31+F41+F51+F61+F71+F81+F91+F101+F111</f>
        <v>17427</v>
      </c>
      <c r="G122" s="41">
        <f t="shared" si="23"/>
        <v>8637</v>
      </c>
      <c r="H122" s="41">
        <f t="shared" si="23"/>
        <v>743</v>
      </c>
      <c r="I122" s="41">
        <f t="shared" si="23"/>
        <v>565</v>
      </c>
      <c r="J122" s="41">
        <f t="shared" si="23"/>
        <v>112</v>
      </c>
      <c r="K122" s="41">
        <f t="shared" si="23"/>
        <v>6186</v>
      </c>
      <c r="L122" s="41">
        <f t="shared" si="23"/>
        <v>249</v>
      </c>
      <c r="M122" s="41">
        <f t="shared" si="23"/>
        <v>1955</v>
      </c>
      <c r="N122" s="41">
        <f t="shared" si="23"/>
        <v>131</v>
      </c>
      <c r="O122" s="41">
        <f t="shared" si="23"/>
        <v>768</v>
      </c>
      <c r="P122" s="41">
        <f t="shared" si="23"/>
        <v>319</v>
      </c>
      <c r="Q122" s="41">
        <f t="shared" si="23"/>
        <v>251</v>
      </c>
      <c r="R122" s="41">
        <f t="shared" si="23"/>
        <v>84</v>
      </c>
      <c r="S122" s="41">
        <f t="shared" si="23"/>
        <v>0</v>
      </c>
    </row>
    <row r="124" spans="1:19" ht="15.6" x14ac:dyDescent="0.35">
      <c r="D124" s="23"/>
      <c r="Q124" s="42" t="s">
        <v>46</v>
      </c>
    </row>
    <row r="125" spans="1:19" ht="15.6" x14ac:dyDescent="0.35">
      <c r="Q125" s="42" t="s">
        <v>47</v>
      </c>
    </row>
    <row r="126" spans="1:19" ht="15.6" x14ac:dyDescent="0.35">
      <c r="Q126" s="42"/>
    </row>
    <row r="127" spans="1:19" ht="15.6" x14ac:dyDescent="0.35">
      <c r="Q127" s="42"/>
    </row>
    <row r="128" spans="1:19" ht="15.6" x14ac:dyDescent="0.35">
      <c r="Q128" s="42"/>
    </row>
    <row r="129" spans="17:17" x14ac:dyDescent="0.35">
      <c r="Q129" s="43" t="s">
        <v>48</v>
      </c>
    </row>
    <row r="130" spans="17:17" ht="15.6" x14ac:dyDescent="0.35">
      <c r="Q130" s="42" t="s">
        <v>49</v>
      </c>
    </row>
    <row r="131" spans="17:17" ht="15.6" x14ac:dyDescent="0.35">
      <c r="Q131" s="44" t="s">
        <v>50</v>
      </c>
    </row>
  </sheetData>
  <mergeCells count="23">
    <mergeCell ref="A1:S1"/>
    <mergeCell ref="A7:A9"/>
    <mergeCell ref="B7:B9"/>
    <mergeCell ref="C7:C9"/>
    <mergeCell ref="D7:D9"/>
    <mergeCell ref="E7:F7"/>
    <mergeCell ref="K7:N7"/>
    <mergeCell ref="S7:S9"/>
    <mergeCell ref="E8:F8"/>
    <mergeCell ref="G8:G9"/>
    <mergeCell ref="R8:R9"/>
    <mergeCell ref="A11:S11"/>
    <mergeCell ref="H8:H9"/>
    <mergeCell ref="I8:I9"/>
    <mergeCell ref="J8:J9"/>
    <mergeCell ref="K8:K9"/>
    <mergeCell ref="L8:L9"/>
    <mergeCell ref="M8:M9"/>
    <mergeCell ref="A122:C122"/>
    <mergeCell ref="N8:N9"/>
    <mergeCell ref="O8:O9"/>
    <mergeCell ref="P8:P9"/>
    <mergeCell ref="Q8:Q9"/>
  </mergeCells>
  <pageMargins left="0.38" right="0.39" top="0.51181102362204722" bottom="0.55118110236220474" header="0.19685039370078741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OBYEK PENGAWASAN K.2</vt:lpstr>
      <vt:lpstr>'OBYEK PENGAWASAN K.2'!Print_Area</vt:lpstr>
      <vt:lpstr>'OBYEK PENGAWASAN K.2'!Print_Titles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2023-08-08T02:41:27Z</cp:lastPrinted>
  <dcterms:created xsi:type="dcterms:W3CDTF">2023-07-07T02:29:37Z</dcterms:created>
  <dcterms:modified xsi:type="dcterms:W3CDTF">2023-08-08T02:47:31Z</dcterms:modified>
</cp:coreProperties>
</file>